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adif365.sharepoint.com/sites/jefaturacomercialsur/Biblioteca documental/Contratacion/LICITACIONES_PUBLICAS/Jefatura Comercial SUR/PROCEDIMIENTO ABIERTO/99999_VARIAS_ESTACIONES/202436600015_Extremadura 1 lote/3. Modelos/"/>
    </mc:Choice>
  </mc:AlternateContent>
  <xr:revisionPtr revIDLastSave="58" documentId="8_{E9EDBBAC-66B0-4AE4-BF20-3609939E8091}" xr6:coauthVersionLast="47" xr6:coauthVersionMax="47" xr10:uidLastSave="{4063E7DE-7C26-4DB5-8608-5BE46554B952}"/>
  <workbookProtection workbookAlgorithmName="SHA-512" workbookHashValue="KFgsnJcJLaPJMZQpzJJUYbipFSBiRZWXQ+H7zHLAgBtWiJlOe8aEPscTEaAJXDtFsBgGvPEqqaoh7ChRyFIiIw==" workbookSaltValue="p5UbcNnIuyPH3teVE7akdA==" workbookSpinCount="100000" lockStructure="1"/>
  <bookViews>
    <workbookView xWindow="-110" yWindow="-110" windowWidth="19420" windowHeight="11620" xr2:uid="{00000000-000D-0000-FFFF-FFFF00000000}"/>
  </bookViews>
  <sheets>
    <sheet name="lote 1" sheetId="7" r:id="rId1"/>
    <sheet name="lote 2" sheetId="8" r:id="rId2"/>
    <sheet name="lote 3" sheetId="9" r:id="rId3"/>
    <sheet name="oferta conjunta 4.4" sheetId="4" r:id="rId4"/>
  </sheet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4" l="1"/>
  <c r="G17" i="4"/>
  <c r="G10" i="4"/>
  <c r="C20" i="7"/>
  <c r="C21" i="7" s="1"/>
  <c r="C22" i="7" s="1"/>
  <c r="C23" i="7" s="1"/>
  <c r="C24" i="7" s="1"/>
  <c r="C25" i="7" s="1"/>
  <c r="C26" i="7" s="1"/>
  <c r="C27" i="7" s="1"/>
  <c r="C19" i="7"/>
  <c r="B55" i="9"/>
  <c r="B50" i="9"/>
  <c r="B52" i="9" s="1"/>
  <c r="L37" i="9"/>
  <c r="L34" i="9"/>
  <c r="L33" i="9"/>
  <c r="P32" i="9"/>
  <c r="L32" i="9"/>
  <c r="K32" i="9"/>
  <c r="E32" i="9"/>
  <c r="P31" i="9"/>
  <c r="L31" i="9"/>
  <c r="K31" i="9"/>
  <c r="E31" i="9"/>
  <c r="P30" i="9"/>
  <c r="L30" i="9"/>
  <c r="K30" i="9"/>
  <c r="E30" i="9"/>
  <c r="P29" i="9"/>
  <c r="L29" i="9"/>
  <c r="K29" i="9"/>
  <c r="E29" i="9"/>
  <c r="P28" i="9"/>
  <c r="L28" i="9"/>
  <c r="K28" i="9"/>
  <c r="E28" i="9"/>
  <c r="L27" i="9"/>
  <c r="K27" i="9"/>
  <c r="E27" i="9"/>
  <c r="L26" i="9"/>
  <c r="K26" i="9"/>
  <c r="E26" i="9"/>
  <c r="L25" i="9"/>
  <c r="K25" i="9"/>
  <c r="E25" i="9"/>
  <c r="L24" i="9"/>
  <c r="K24" i="9"/>
  <c r="E24" i="9"/>
  <c r="L23" i="9"/>
  <c r="K23" i="9"/>
  <c r="E23" i="9"/>
  <c r="L22" i="9"/>
  <c r="K22" i="9"/>
  <c r="E22" i="9"/>
  <c r="L21" i="9"/>
  <c r="K21" i="9"/>
  <c r="E21" i="9"/>
  <c r="L20" i="9"/>
  <c r="K20" i="9"/>
  <c r="E20" i="9"/>
  <c r="O19" i="9"/>
  <c r="M19" i="9"/>
  <c r="L19" i="9"/>
  <c r="K19" i="9"/>
  <c r="E19" i="9"/>
  <c r="P18" i="9"/>
  <c r="L18" i="9"/>
  <c r="K18" i="9" s="1"/>
  <c r="E18" i="9" s="1"/>
  <c r="D18" i="9"/>
  <c r="C18" i="9"/>
  <c r="G18" i="9" l="1"/>
  <c r="E35" i="9"/>
  <c r="E34" i="9"/>
  <c r="E33" i="9"/>
  <c r="E28" i="4" s="1"/>
  <c r="M20" i="9"/>
  <c r="M21" i="9" s="1"/>
  <c r="M22" i="9" s="1"/>
  <c r="M23" i="9" s="1"/>
  <c r="M24" i="9" s="1"/>
  <c r="M25" i="9" s="1"/>
  <c r="M26" i="9" s="1"/>
  <c r="M27" i="9" s="1"/>
  <c r="M28" i="9" s="1"/>
  <c r="C37" i="9"/>
  <c r="C19" i="9"/>
  <c r="P19" i="9"/>
  <c r="D19" i="9" s="1"/>
  <c r="O20" i="9"/>
  <c r="C50" i="9"/>
  <c r="D50" i="9"/>
  <c r="G19" i="9" l="1"/>
  <c r="C20" i="9"/>
  <c r="C28" i="9"/>
  <c r="G28" i="9" s="1"/>
  <c r="M29" i="9"/>
  <c r="O21" i="9"/>
  <c r="P20" i="9"/>
  <c r="D20" i="9" s="1"/>
  <c r="M30" i="9" l="1"/>
  <c r="C29" i="9"/>
  <c r="G29" i="9" s="1"/>
  <c r="C21" i="9"/>
  <c r="G20" i="9"/>
  <c r="O22" i="9"/>
  <c r="P21" i="9"/>
  <c r="D21" i="9" s="1"/>
  <c r="O23" i="9" l="1"/>
  <c r="P22" i="9"/>
  <c r="D22" i="9" s="1"/>
  <c r="C22" i="9"/>
  <c r="G21" i="9"/>
  <c r="M31" i="9"/>
  <c r="C30" i="9"/>
  <c r="G30" i="9" s="1"/>
  <c r="C23" i="9" l="1"/>
  <c r="G22" i="9"/>
  <c r="C31" i="9"/>
  <c r="G31" i="9" s="1"/>
  <c r="M32" i="9"/>
  <c r="C32" i="9" s="1"/>
  <c r="G32" i="9" s="1"/>
  <c r="O24" i="9"/>
  <c r="P23" i="9"/>
  <c r="D23" i="9" s="1"/>
  <c r="M33" i="9" l="1"/>
  <c r="P24" i="9"/>
  <c r="D24" i="9" s="1"/>
  <c r="O25" i="9"/>
  <c r="C24" i="9"/>
  <c r="G23" i="9"/>
  <c r="C25" i="9" l="1"/>
  <c r="G24" i="9"/>
  <c r="O26" i="9"/>
  <c r="P25" i="9"/>
  <c r="D25" i="9" s="1"/>
  <c r="O27" i="9" l="1"/>
  <c r="P26" i="9"/>
  <c r="D26" i="9" s="1"/>
  <c r="G25" i="9"/>
  <c r="C26" i="9"/>
  <c r="C36" i="9"/>
  <c r="C27" i="9" l="1"/>
  <c r="G26" i="9"/>
  <c r="P27" i="9"/>
  <c r="O33" i="9"/>
  <c r="D27" i="9" l="1"/>
  <c r="D33" i="9" s="1"/>
  <c r="P33" i="9"/>
  <c r="G27" i="9"/>
  <c r="C33" i="9"/>
  <c r="G11" i="9" s="1"/>
  <c r="B55" i="8" l="1"/>
  <c r="B50" i="8"/>
  <c r="B52" i="8" s="1"/>
  <c r="L37" i="8"/>
  <c r="C37" i="8"/>
  <c r="L34" i="8"/>
  <c r="L33" i="8"/>
  <c r="P32" i="8"/>
  <c r="L32" i="8"/>
  <c r="K32" i="8"/>
  <c r="E32" i="8"/>
  <c r="P31" i="8"/>
  <c r="L31" i="8"/>
  <c r="K31" i="8"/>
  <c r="E31" i="8"/>
  <c r="P30" i="8"/>
  <c r="L30" i="8"/>
  <c r="K30" i="8"/>
  <c r="E30" i="8"/>
  <c r="P29" i="8"/>
  <c r="L29" i="8"/>
  <c r="K29" i="8"/>
  <c r="E29" i="8"/>
  <c r="P28" i="8"/>
  <c r="L28" i="8"/>
  <c r="K28" i="8"/>
  <c r="E28" i="8"/>
  <c r="L27" i="8"/>
  <c r="K27" i="8"/>
  <c r="E27" i="8"/>
  <c r="L26" i="8"/>
  <c r="K26" i="8"/>
  <c r="E26" i="8"/>
  <c r="L25" i="8"/>
  <c r="K25" i="8"/>
  <c r="E25" i="8"/>
  <c r="L24" i="8"/>
  <c r="K24" i="8"/>
  <c r="E24" i="8"/>
  <c r="L23" i="8"/>
  <c r="K23" i="8"/>
  <c r="E23" i="8"/>
  <c r="L22" i="8"/>
  <c r="K22" i="8"/>
  <c r="E22" i="8"/>
  <c r="L21" i="8"/>
  <c r="K21" i="8"/>
  <c r="E21" i="8"/>
  <c r="G21" i="8" s="1"/>
  <c r="L20" i="8"/>
  <c r="K20" i="8"/>
  <c r="E20" i="8"/>
  <c r="G20" i="8" s="1"/>
  <c r="C20" i="8"/>
  <c r="C21" i="8" s="1"/>
  <c r="O19" i="8"/>
  <c r="M19" i="8"/>
  <c r="M20" i="8" s="1"/>
  <c r="M21" i="8" s="1"/>
  <c r="M22" i="8" s="1"/>
  <c r="M23" i="8" s="1"/>
  <c r="M24" i="8" s="1"/>
  <c r="M25" i="8" s="1"/>
  <c r="M26" i="8" s="1"/>
  <c r="M27" i="8" s="1"/>
  <c r="M28" i="8" s="1"/>
  <c r="L19" i="8"/>
  <c r="K19" i="8"/>
  <c r="E19" i="8"/>
  <c r="C19" i="8"/>
  <c r="G19" i="8" s="1"/>
  <c r="P18" i="8"/>
  <c r="L18" i="8"/>
  <c r="K18" i="8"/>
  <c r="E18" i="8" s="1"/>
  <c r="E35" i="8" s="1"/>
  <c r="D18" i="8"/>
  <c r="G18" i="8" l="1"/>
  <c r="M29" i="8"/>
  <c r="C28" i="8"/>
  <c r="G28" i="8" s="1"/>
  <c r="C22" i="8"/>
  <c r="P19" i="8"/>
  <c r="D19" i="8" s="1"/>
  <c r="O20" i="8"/>
  <c r="E33" i="8"/>
  <c r="E20" i="4" s="1"/>
  <c r="C50" i="8"/>
  <c r="E34" i="8"/>
  <c r="D50" i="8"/>
  <c r="M30" i="8" l="1"/>
  <c r="C29" i="8"/>
  <c r="G29" i="8" s="1"/>
  <c r="P20" i="8"/>
  <c r="D20" i="8" s="1"/>
  <c r="O21" i="8"/>
  <c r="C23" i="8"/>
  <c r="G22" i="8"/>
  <c r="M31" i="8" l="1"/>
  <c r="C30" i="8"/>
  <c r="G30" i="8" s="1"/>
  <c r="O22" i="8"/>
  <c r="P21" i="8"/>
  <c r="D21" i="8" s="1"/>
  <c r="C24" i="8"/>
  <c r="G23" i="8"/>
  <c r="O23" i="8" l="1"/>
  <c r="P22" i="8"/>
  <c r="D22" i="8" s="1"/>
  <c r="C31" i="8"/>
  <c r="G31" i="8" s="1"/>
  <c r="M32" i="8"/>
  <c r="C25" i="8"/>
  <c r="G24" i="8"/>
  <c r="G25" i="8" l="1"/>
  <c r="C26" i="8"/>
  <c r="C36" i="8"/>
  <c r="O24" i="8"/>
  <c r="P23" i="8"/>
  <c r="D23" i="8" s="1"/>
  <c r="C32" i="8"/>
  <c r="G32" i="8" s="1"/>
  <c r="M33" i="8"/>
  <c r="O25" i="8" l="1"/>
  <c r="P24" i="8"/>
  <c r="D24" i="8" s="1"/>
  <c r="C27" i="8"/>
  <c r="G26" i="8"/>
  <c r="G27" i="8" l="1"/>
  <c r="C33" i="8"/>
  <c r="G11" i="8" s="1"/>
  <c r="P25" i="8"/>
  <c r="D25" i="8" s="1"/>
  <c r="O26" i="8"/>
  <c r="O27" i="8" l="1"/>
  <c r="P26" i="8"/>
  <c r="D26" i="8" s="1"/>
  <c r="P27" i="8" l="1"/>
  <c r="O33" i="8"/>
  <c r="D27" i="8" l="1"/>
  <c r="D33" i="8" s="1"/>
  <c r="P33" i="8"/>
  <c r="B55" i="7" l="1"/>
  <c r="B52" i="7"/>
  <c r="D50" i="7"/>
  <c r="C50" i="7"/>
  <c r="B50" i="7"/>
  <c r="L37" i="7"/>
  <c r="C37" i="7"/>
  <c r="C36" i="7"/>
  <c r="L34" i="7"/>
  <c r="L33" i="7"/>
  <c r="G11" i="7"/>
  <c r="P32" i="7"/>
  <c r="L32" i="7"/>
  <c r="K32" i="7"/>
  <c r="E32" i="7"/>
  <c r="P31" i="7"/>
  <c r="L31" i="7"/>
  <c r="K31" i="7"/>
  <c r="E31" i="7"/>
  <c r="P30" i="7"/>
  <c r="L30" i="7"/>
  <c r="K30" i="7"/>
  <c r="E30" i="7"/>
  <c r="P29" i="7"/>
  <c r="L29" i="7"/>
  <c r="K29" i="7"/>
  <c r="E29" i="7"/>
  <c r="P28" i="7"/>
  <c r="L28" i="7"/>
  <c r="K28" i="7"/>
  <c r="L27" i="7"/>
  <c r="K27" i="7"/>
  <c r="E27" i="7"/>
  <c r="G27" i="7" s="1"/>
  <c r="L26" i="7"/>
  <c r="K26" i="7"/>
  <c r="E26" i="7"/>
  <c r="G26" i="7" s="1"/>
  <c r="L25" i="7"/>
  <c r="K25" i="7"/>
  <c r="E25" i="7"/>
  <c r="G25" i="7" s="1"/>
  <c r="L24" i="7"/>
  <c r="K24" i="7"/>
  <c r="E24" i="7"/>
  <c r="G24" i="7" s="1"/>
  <c r="L23" i="7"/>
  <c r="K23" i="7"/>
  <c r="E23" i="7"/>
  <c r="G23" i="7" s="1"/>
  <c r="L22" i="7"/>
  <c r="K22" i="7"/>
  <c r="E22" i="7"/>
  <c r="G22" i="7" s="1"/>
  <c r="L21" i="7"/>
  <c r="K21" i="7"/>
  <c r="E21" i="7"/>
  <c r="G21" i="7" s="1"/>
  <c r="L20" i="7"/>
  <c r="K20" i="7"/>
  <c r="E20" i="7"/>
  <c r="G20" i="7" s="1"/>
  <c r="O19" i="7"/>
  <c r="M19" i="7"/>
  <c r="M20" i="7" s="1"/>
  <c r="M21" i="7" s="1"/>
  <c r="M22" i="7" s="1"/>
  <c r="M23" i="7" s="1"/>
  <c r="M24" i="7" s="1"/>
  <c r="M25" i="7" s="1"/>
  <c r="M26" i="7" s="1"/>
  <c r="M27" i="7" s="1"/>
  <c r="M28" i="7" s="1"/>
  <c r="L19" i="7"/>
  <c r="K19" i="7"/>
  <c r="E19" i="7"/>
  <c r="G19" i="7" s="1"/>
  <c r="P18" i="7"/>
  <c r="L18" i="7"/>
  <c r="K18" i="7" s="1"/>
  <c r="E18" i="7" s="1"/>
  <c r="D18" i="7"/>
  <c r="E35" i="7" l="1"/>
  <c r="G18" i="7"/>
  <c r="M29" i="7"/>
  <c r="C28" i="7"/>
  <c r="G28" i="7" s="1"/>
  <c r="E34" i="7"/>
  <c r="E33" i="7"/>
  <c r="E13" i="4" s="1"/>
  <c r="O20" i="7"/>
  <c r="P19" i="7"/>
  <c r="D19" i="7" l="1"/>
  <c r="P20" i="7"/>
  <c r="D20" i="7" s="1"/>
  <c r="O21" i="7"/>
  <c r="C29" i="7"/>
  <c r="G29" i="7" s="1"/>
  <c r="M30" i="7"/>
  <c r="P21" i="7" l="1"/>
  <c r="D21" i="7" s="1"/>
  <c r="O22" i="7"/>
  <c r="M31" i="7"/>
  <c r="C30" i="7"/>
  <c r="G30" i="7" s="1"/>
  <c r="P22" i="7" l="1"/>
  <c r="O23" i="7"/>
  <c r="C31" i="7"/>
  <c r="G31" i="7" s="1"/>
  <c r="M32" i="7"/>
  <c r="C32" i="7" s="1"/>
  <c r="G32" i="7" s="1"/>
  <c r="P23" i="7" l="1"/>
  <c r="D23" i="7" s="1"/>
  <c r="O24" i="7"/>
  <c r="D22" i="7"/>
  <c r="M33" i="7"/>
  <c r="P24" i="7" l="1"/>
  <c r="O25" i="7"/>
  <c r="D24" i="7" l="1"/>
  <c r="P25" i="7"/>
  <c r="D25" i="7" s="1"/>
  <c r="O26" i="7"/>
  <c r="P26" i="7" l="1"/>
  <c r="D26" i="7" s="1"/>
  <c r="O27" i="7"/>
  <c r="P27" i="7" l="1"/>
  <c r="O33" i="7"/>
  <c r="D27" i="7" l="1"/>
  <c r="D33" i="7" s="1"/>
  <c r="P33" i="7"/>
  <c r="E3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8896532</author>
  </authors>
  <commentList>
    <comment ref="M18" authorId="0" shapeId="0" xr:uid="{11ACF5D2-069F-4198-B870-BE9CBF6B720B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la Renta del Año 1</t>
        </r>
      </text>
    </comment>
    <comment ref="N18" authorId="0" shapeId="0" xr:uid="{35656DAF-E5EF-42CC-8510-7514555C2962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el porcentaje de incremento anual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8896532</author>
  </authors>
  <commentList>
    <comment ref="M18" authorId="0" shapeId="0" xr:uid="{FE7A65BD-10D0-47F6-9732-67E6B5950223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la Renta del Año 1</t>
        </r>
      </text>
    </comment>
    <comment ref="N18" authorId="0" shapeId="0" xr:uid="{851E3A28-D391-4776-8925-36D6A6B34C24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el porcentaje de incremento anual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8896532</author>
  </authors>
  <commentList>
    <comment ref="M18" authorId="0" shapeId="0" xr:uid="{CF446F53-906B-4CAB-99C8-92E1AAAB382E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la Renta del Año 1</t>
        </r>
      </text>
    </comment>
    <comment ref="N18" authorId="0" shapeId="0" xr:uid="{888463C1-FBD2-43E5-B19E-FD3A5F90F8F4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el porcentaje de incremento anual</t>
        </r>
      </text>
    </comment>
  </commentList>
</comments>
</file>

<file path=xl/sharedStrings.xml><?xml version="1.0" encoding="utf-8"?>
<sst xmlns="http://schemas.openxmlformats.org/spreadsheetml/2006/main" count="197" uniqueCount="67">
  <si>
    <t>HOJA DE OFERTA ECONÓMICA RENTA VARIABLE</t>
  </si>
  <si>
    <t>ESTACION</t>
  </si>
  <si>
    <t>ACTIVIDAD</t>
  </si>
  <si>
    <t>RENTA MÍNIMA GARANTIZADA TOTAL CONTRATO</t>
  </si>
  <si>
    <t>FIRMA Y SELLO EMPRESA OFERTANTE</t>
  </si>
  <si>
    <t>RENTA MINIMA GARANTIZADA ANUAL (*)</t>
  </si>
  <si>
    <t>AÑO 1</t>
  </si>
  <si>
    <t>AÑO 2</t>
  </si>
  <si>
    <t>AÑO 3</t>
  </si>
  <si>
    <t>AÑO 4</t>
  </si>
  <si>
    <t>AÑO 5</t>
  </si>
  <si>
    <t>AÑO 6</t>
  </si>
  <si>
    <t>AÑO 7</t>
  </si>
  <si>
    <t>TOTAL</t>
  </si>
  <si>
    <t>VAN</t>
  </si>
  <si>
    <t>OBSERVACIONES DEL ADIF:</t>
  </si>
  <si>
    <t>NOTA: A CUMPLIMENTAR ÚNICAMENTE LOS CAMPOS EN BLANCO</t>
  </si>
  <si>
    <t>AÑO 8</t>
  </si>
  <si>
    <t>AÑO 9</t>
  </si>
  <si>
    <t>AÑO 10</t>
  </si>
  <si>
    <t>INCREMENTO ANUAL</t>
  </si>
  <si>
    <t>RMGA con % incremento</t>
  </si>
  <si>
    <t>RENDONDEO VARIABLE OFERTADO</t>
  </si>
  <si>
    <t>RENDONDEO DECIMALES RMGA OFERTADA</t>
  </si>
  <si>
    <t>AÑO 11</t>
  </si>
  <si>
    <t>AÑO 12</t>
  </si>
  <si>
    <t>AÑO 13</t>
  </si>
  <si>
    <t>AÑO 14</t>
  </si>
  <si>
    <t>AÑO 15</t>
  </si>
  <si>
    <t>Nº LOCAL/ESPACIO</t>
  </si>
  <si>
    <r>
      <t>SUPERFICIE DEL LOCAL / TERRAZA M</t>
    </r>
    <r>
      <rPr>
        <b/>
        <vertAlign val="superscript"/>
        <sz val="16"/>
        <rFont val="Adif Fago No Regular"/>
      </rPr>
      <t>2</t>
    </r>
  </si>
  <si>
    <t>iva</t>
  </si>
  <si>
    <t>iva incluido</t>
  </si>
  <si>
    <t>renta minima</t>
  </si>
  <si>
    <t>lau</t>
  </si>
  <si>
    <t>MEDIA</t>
  </si>
  <si>
    <t xml:space="preserve">ADICIONAL </t>
  </si>
  <si>
    <t>fianza adicional</t>
  </si>
  <si>
    <t>fianz legal LAU</t>
  </si>
  <si>
    <t>VENTAS</t>
  </si>
  <si>
    <r>
      <t xml:space="preserve">VENTAS PREVISTAS </t>
    </r>
    <r>
      <rPr>
        <b/>
        <sz val="14"/>
        <color indexed="10"/>
        <rFont val="Adif Fago No Regular"/>
      </rPr>
      <t>(SOLO A EFECTOS DE VALORACIÓN DE LA OFERTA)</t>
    </r>
    <r>
      <rPr>
        <b/>
        <sz val="14"/>
        <rFont val="Adif Fago No Regular"/>
      </rPr>
      <t xml:space="preserve"> FIJADAS POR ADIF.</t>
    </r>
  </si>
  <si>
    <r>
      <t xml:space="preserve">RENTA ANUAL RESULTANTE </t>
    </r>
    <r>
      <rPr>
        <b/>
        <sz val="14"/>
        <color indexed="10"/>
        <rFont val="Adif Fago No Regular"/>
      </rPr>
      <t>(SOLO A EFECTOS DE VALORACIÓN DE LA OFERTA)</t>
    </r>
    <r>
      <rPr>
        <b/>
        <sz val="14"/>
        <rFont val="Adif Fago No Regular"/>
      </rPr>
      <t xml:space="preserve"> SEGÚN PORCENTAJE OFERTADO SOBRE VENTAS PREVISTAS </t>
    </r>
  </si>
  <si>
    <t>A los solos efectos de valoración de las ofertas económicas y para que el licitador pueda calcular el porcentaje de variable sobre ventas a ofertar, Adif ha fijado las ventas previstas durante los años de vigencia del contrato, estas ventas no se podrán modificar y serán sobre las realicen la simulación de ingresos con los que valorar la oferta económica</t>
  </si>
  <si>
    <t>Porcentaje VARIABLE  OFERTADO (**)</t>
  </si>
  <si>
    <t>PLIEGO DE CONDICIONES PARTICULARES                                                                             EXPEDIENTE Nº  2024-366-00015</t>
  </si>
  <si>
    <t>PLASENCIA</t>
  </si>
  <si>
    <t>Local SAP nº 23060</t>
  </si>
  <si>
    <t>18,68 m2</t>
  </si>
  <si>
    <t>Restauración/multitienda</t>
  </si>
  <si>
    <t>CÁCERES</t>
  </si>
  <si>
    <t>Terraza</t>
  </si>
  <si>
    <t>40,00 m²</t>
  </si>
  <si>
    <t>Espacio SAP nº 14918</t>
  </si>
  <si>
    <t>171,00 m2</t>
  </si>
  <si>
    <t>Local SAP nº 6384</t>
  </si>
  <si>
    <t>MÉRIDA</t>
  </si>
  <si>
    <r>
      <t>SUPERFICIE DEL LOCAL  M</t>
    </r>
    <r>
      <rPr>
        <b/>
        <vertAlign val="superscript"/>
        <sz val="16"/>
        <rFont val="Adif Fago No Regular"/>
      </rPr>
      <t>2</t>
    </r>
  </si>
  <si>
    <t xml:space="preserve">(*) Según lo definido en el punto 3.2 del C.C.P. </t>
  </si>
  <si>
    <r>
      <t>(**) Figurar el porcentaje de renta variable según lo definido en el punto 3.2 del C.C.P.  
       debiendo cumplir las condiciones siguientes:
       •</t>
    </r>
    <r>
      <rPr>
        <b/>
        <sz val="14"/>
        <color indexed="10"/>
        <rFont val="Adif Fago No Regular"/>
      </rPr>
      <t xml:space="preserve"> Para el primer año el licitador ofrecerá un porcentaje variable mínima del 3,5%.</t>
    </r>
    <r>
      <rPr>
        <b/>
        <sz val="14"/>
        <rFont val="Adif Fago No Regular"/>
      </rPr>
      <t xml:space="preserve">
       • Ser el mismo para todos los meses de cada año.
       • Ser igual o mayor al del año anterior.
       • No ser mayor en 2 puntos porcentuales al porcentaje ofrecido en el año anterior.
       • Estar expresado en un solo decimal.</t>
    </r>
  </si>
  <si>
    <r>
      <t>(**) Figurar el porcentaje de renta variable según lo definido en el punto 3.2 del C.C.P. 
       debiendo cumplir las condiciones siguientes:
       •</t>
    </r>
    <r>
      <rPr>
        <b/>
        <sz val="14"/>
        <color indexed="10"/>
        <rFont val="Adif Fago No Regular"/>
      </rPr>
      <t xml:space="preserve"> Para el primer año el licitador ofrecerá un porcentaje variable mínima del 4,5%.</t>
    </r>
    <r>
      <rPr>
        <b/>
        <sz val="14"/>
        <rFont val="Adif Fago No Regular"/>
      </rPr>
      <t xml:space="preserve">
       • Ser el mismo para todos los meses de cada año.
       • Ser igual o mayor al del año anterior.
       • No ser mayor en 2 puntos porcentuales al porcentaje ofrecido en el año anterior.
       • Estar expresado en un solo decimal.</t>
    </r>
  </si>
  <si>
    <t>(*) Según lo definido en el punto 3.2 del  C.C.P. y su Anejo 5</t>
  </si>
  <si>
    <t>OFERTA CONJUNTA VALOR TOTAL</t>
  </si>
  <si>
    <t>Espacio SAP nº 23060</t>
  </si>
  <si>
    <t>ANEJO 4.4. OFERTA CONJUNTA</t>
  </si>
  <si>
    <t>OFERTA CONJUNTA PLASENCIA</t>
  </si>
  <si>
    <t>OFERTA CONJUNTA CÁCERES</t>
  </si>
  <si>
    <t>OFERTA CONJUNTA MÉRIDA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</si>
</sst>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0.0%"/>
    <numFmt numFmtId="166" formatCode="#,##0.0\ &quot;€&quot;;\-#,##0.0\ &quot;€&quot;"/>
    <numFmt numFmtId="167" formatCode="#,##0\ &quot;€&quot;"/>
  </numFmts>
  <fonts count="28" x14ac:knownFonts="1">
    <font>
      <sz val="10"/>
      <name val="Arial"/>
    </font>
    <font>
      <b/>
      <sz val="24"/>
      <name val="Adif Fago No Regular"/>
    </font>
    <font>
      <sz val="10"/>
      <name val="Adif Fago No Regular"/>
    </font>
    <font>
      <b/>
      <sz val="18"/>
      <name val="Adif Fago No Regular"/>
    </font>
    <font>
      <b/>
      <sz val="22"/>
      <name val="Adif Fago No Regular"/>
    </font>
    <font>
      <sz val="22"/>
      <name val="Adif Fago No Regular"/>
    </font>
    <font>
      <b/>
      <sz val="16"/>
      <name val="Adif Fago No Regular"/>
    </font>
    <font>
      <b/>
      <vertAlign val="superscript"/>
      <sz val="16"/>
      <name val="Adif Fago No Regular"/>
    </font>
    <font>
      <b/>
      <sz val="14"/>
      <name val="Adif Fago No Regular"/>
    </font>
    <font>
      <sz val="12"/>
      <name val="Arial"/>
      <family val="2"/>
    </font>
    <font>
      <sz val="14"/>
      <name val="Adif Fago No Regular"/>
    </font>
    <font>
      <b/>
      <u/>
      <sz val="16"/>
      <name val="Adif Fago No Regular"/>
    </font>
    <font>
      <sz val="10"/>
      <color indexed="9"/>
      <name val="Adif Fago No Regular"/>
    </font>
    <font>
      <sz val="16"/>
      <name val="Adif Fago No Regular"/>
    </font>
    <font>
      <b/>
      <sz val="10"/>
      <name val="Adif Fago No Regular"/>
    </font>
    <font>
      <b/>
      <sz val="10"/>
      <name val="Arial"/>
      <family val="2"/>
    </font>
    <font>
      <sz val="10"/>
      <name val="Arial"/>
      <family val="2"/>
    </font>
    <font>
      <b/>
      <sz val="9"/>
      <color indexed="10"/>
      <name val="Adif Fago No Regular"/>
    </font>
    <font>
      <b/>
      <sz val="26"/>
      <name val="Adif Fago No Regular"/>
    </font>
    <font>
      <b/>
      <sz val="9"/>
      <name val="Adif Fago No Regular"/>
    </font>
    <font>
      <b/>
      <sz val="11"/>
      <name val="Arial"/>
      <family val="2"/>
    </font>
    <font>
      <sz val="18"/>
      <name val="Arial"/>
      <family val="2"/>
    </font>
    <font>
      <sz val="9"/>
      <color indexed="81"/>
      <name val="Tahoma"/>
      <family val="2"/>
    </font>
    <font>
      <b/>
      <sz val="14"/>
      <color indexed="81"/>
      <name val="Tahoma"/>
      <family val="2"/>
    </font>
    <font>
      <b/>
      <sz val="14"/>
      <color indexed="10"/>
      <name val="Adif Fago No Regular"/>
    </font>
    <font>
      <sz val="10"/>
      <color theme="0"/>
      <name val="Arial"/>
      <family val="2"/>
    </font>
    <font>
      <sz val="11"/>
      <color rgb="FFFF0000"/>
      <name val="Adif Fago No Regular"/>
    </font>
    <font>
      <b/>
      <sz val="14"/>
      <color rgb="FFFF0000"/>
      <name val="Adif Fago No Regula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231">
    <xf numFmtId="0" fontId="0" fillId="0" borderId="0" xfId="0"/>
    <xf numFmtId="0" fontId="2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7" fontId="3" fillId="5" borderId="7" xfId="0" applyNumberFormat="1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/>
    </xf>
    <xf numFmtId="0" fontId="8" fillId="5" borderId="13" xfId="0" applyFont="1" applyFill="1" applyBorder="1" applyAlignment="1">
      <alignment horizontal="left" vertical="center"/>
    </xf>
    <xf numFmtId="0" fontId="8" fillId="5" borderId="14" xfId="0" applyFont="1" applyFill="1" applyBorder="1" applyAlignment="1">
      <alignment horizontal="left" vertical="center"/>
    </xf>
    <xf numFmtId="167" fontId="8" fillId="5" borderId="15" xfId="0" applyNumberFormat="1" applyFont="1" applyFill="1" applyBorder="1" applyAlignment="1">
      <alignment horizontal="center" vertical="center" wrapText="1"/>
    </xf>
    <xf numFmtId="10" fontId="25" fillId="6" borderId="0" xfId="0" applyNumberFormat="1" applyFont="1" applyFill="1"/>
    <xf numFmtId="167" fontId="8" fillId="5" borderId="16" xfId="0" applyNumberFormat="1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167" fontId="3" fillId="5" borderId="18" xfId="0" applyNumberFormat="1" applyFont="1" applyFill="1" applyBorder="1" applyAlignment="1">
      <alignment horizontal="center" vertical="center"/>
    </xf>
    <xf numFmtId="167" fontId="3" fillId="5" borderId="19" xfId="0" applyNumberFormat="1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horizontal="center" vertical="center" wrapText="1"/>
    </xf>
    <xf numFmtId="10" fontId="20" fillId="8" borderId="0" xfId="0" applyNumberFormat="1" applyFont="1" applyFill="1" applyAlignment="1" applyProtection="1">
      <alignment horizontal="center" vertical="center"/>
      <protection locked="0"/>
    </xf>
    <xf numFmtId="0" fontId="8" fillId="5" borderId="21" xfId="0" applyFont="1" applyFill="1" applyBorder="1" applyAlignment="1">
      <alignment horizontal="center" vertical="center"/>
    </xf>
    <xf numFmtId="167" fontId="8" fillId="5" borderId="15" xfId="0" applyNumberFormat="1" applyFont="1" applyFill="1" applyBorder="1" applyAlignment="1">
      <alignment horizontal="center" vertical="center"/>
    </xf>
    <xf numFmtId="4" fontId="26" fillId="0" borderId="0" xfId="0" applyNumberFormat="1" applyFont="1"/>
    <xf numFmtId="4" fontId="0" fillId="0" borderId="0" xfId="0" applyNumberFormat="1"/>
    <xf numFmtId="0" fontId="16" fillId="0" borderId="0" xfId="0" applyFont="1"/>
    <xf numFmtId="167" fontId="8" fillId="5" borderId="1" xfId="0" applyNumberFormat="1" applyFont="1" applyFill="1" applyBorder="1" applyAlignment="1">
      <alignment horizontal="center" vertical="center" wrapText="1"/>
    </xf>
    <xf numFmtId="167" fontId="8" fillId="5" borderId="24" xfId="0" applyNumberFormat="1" applyFont="1" applyFill="1" applyBorder="1" applyAlignment="1">
      <alignment horizontal="center" vertical="center"/>
    </xf>
    <xf numFmtId="167" fontId="8" fillId="5" borderId="25" xfId="0" applyNumberFormat="1" applyFont="1" applyFill="1" applyBorder="1" applyAlignment="1">
      <alignment horizontal="center" vertical="center" wrapText="1"/>
    </xf>
    <xf numFmtId="165" fontId="8" fillId="0" borderId="27" xfId="0" applyNumberFormat="1" applyFont="1" applyBorder="1" applyAlignment="1" applyProtection="1">
      <alignment horizontal="center" vertical="center"/>
      <protection locked="0"/>
    </xf>
    <xf numFmtId="0" fontId="19" fillId="7" borderId="28" xfId="0" applyFont="1" applyFill="1" applyBorder="1" applyAlignment="1">
      <alignment horizontal="center" vertical="center" wrapText="1"/>
    </xf>
    <xf numFmtId="167" fontId="27" fillId="5" borderId="1" xfId="0" applyNumberFormat="1" applyFont="1" applyFill="1" applyBorder="1" applyAlignment="1">
      <alignment horizontal="center" vertical="center" wrapText="1"/>
    </xf>
    <xf numFmtId="167" fontId="27" fillId="5" borderId="25" xfId="0" applyNumberFormat="1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/>
    </xf>
    <xf numFmtId="1" fontId="8" fillId="5" borderId="46" xfId="0" applyNumberFormat="1" applyFont="1" applyFill="1" applyBorder="1" applyAlignment="1">
      <alignment horizontal="center" vertical="center"/>
    </xf>
    <xf numFmtId="4" fontId="8" fillId="5" borderId="46" xfId="0" applyNumberFormat="1" applyFont="1" applyFill="1" applyBorder="1" applyAlignment="1">
      <alignment horizontal="center" vertical="center"/>
    </xf>
    <xf numFmtId="0" fontId="8" fillId="5" borderId="4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5" borderId="25" xfId="0" applyNumberFormat="1" applyFont="1" applyFill="1" applyBorder="1" applyAlignment="1">
      <alignment horizontal="center" vertical="center"/>
    </xf>
    <xf numFmtId="4" fontId="8" fillId="5" borderId="2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5" fillId="0" borderId="0" xfId="0" applyFont="1"/>
    <xf numFmtId="0" fontId="1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5" fontId="17" fillId="0" borderId="0" xfId="0" applyNumberFormat="1" applyFont="1" applyAlignment="1">
      <alignment horizontal="center" vertical="center" wrapText="1"/>
    </xf>
    <xf numFmtId="10" fontId="16" fillId="6" borderId="0" xfId="0" applyNumberFormat="1" applyFont="1" applyFill="1"/>
    <xf numFmtId="4" fontId="0" fillId="0" borderId="0" xfId="0" applyNumberFormat="1" applyProtection="1">
      <protection locked="0"/>
    </xf>
    <xf numFmtId="165" fontId="8" fillId="0" borderId="26" xfId="0" applyNumberFormat="1" applyFont="1" applyBorder="1" applyAlignment="1" applyProtection="1">
      <alignment horizontal="center" vertical="center" wrapText="1"/>
      <protection locked="0"/>
    </xf>
    <xf numFmtId="167" fontId="8" fillId="0" borderId="15" xfId="0" applyNumberFormat="1" applyFont="1" applyBorder="1" applyAlignment="1" applyProtection="1">
      <alignment horizontal="center" vertical="center"/>
      <protection locked="0"/>
    </xf>
    <xf numFmtId="165" fontId="8" fillId="0" borderId="23" xfId="0" applyNumberFormat="1" applyFont="1" applyBorder="1" applyAlignment="1" applyProtection="1">
      <alignment horizontal="center" vertical="center" wrapText="1"/>
      <protection locked="0"/>
    </xf>
    <xf numFmtId="3" fontId="13" fillId="0" borderId="5" xfId="0" applyNumberFormat="1" applyFont="1" applyBorder="1" applyAlignment="1">
      <alignment vertical="center"/>
    </xf>
    <xf numFmtId="166" fontId="6" fillId="0" borderId="0" xfId="0" applyNumberFormat="1" applyFont="1" applyAlignment="1">
      <alignment horizontal="center" vertical="center" wrapText="1"/>
    </xf>
    <xf numFmtId="167" fontId="8" fillId="0" borderId="0" xfId="0" applyNumberFormat="1" applyFont="1" applyAlignment="1">
      <alignment horizontal="center" vertical="center" wrapText="1"/>
    </xf>
    <xf numFmtId="8" fontId="6" fillId="0" borderId="0" xfId="0" applyNumberFormat="1" applyFont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7" fontId="6" fillId="4" borderId="2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167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67" fontId="6" fillId="4" borderId="0" xfId="0" applyNumberFormat="1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" fontId="8" fillId="5" borderId="47" xfId="0" applyNumberFormat="1" applyFont="1" applyFill="1" applyBorder="1" applyAlignment="1">
      <alignment horizontal="center" vertical="center"/>
    </xf>
    <xf numFmtId="4" fontId="8" fillId="5" borderId="47" xfId="0" applyNumberFormat="1" applyFont="1" applyFill="1" applyBorder="1" applyAlignment="1">
      <alignment horizontal="center" vertical="center"/>
    </xf>
    <xf numFmtId="0" fontId="8" fillId="5" borderId="47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6" fillId="0" borderId="0" xfId="1"/>
    <xf numFmtId="0" fontId="16" fillId="0" borderId="0" xfId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 applyProtection="1">
      <alignment horizontal="center" vertical="center" wrapText="1"/>
      <protection locked="0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1" fontId="8" fillId="5" borderId="25" xfId="1" applyNumberFormat="1" applyFont="1" applyFill="1" applyBorder="1" applyAlignment="1">
      <alignment horizontal="center" vertical="center"/>
    </xf>
    <xf numFmtId="4" fontId="8" fillId="5" borderId="25" xfId="1" applyNumberFormat="1" applyFont="1" applyFill="1" applyBorder="1" applyAlignment="1">
      <alignment horizontal="center" vertical="center"/>
    </xf>
    <xf numFmtId="0" fontId="8" fillId="5" borderId="25" xfId="1" applyFont="1" applyFill="1" applyBorder="1" applyAlignment="1">
      <alignment horizontal="center" vertical="center"/>
    </xf>
    <xf numFmtId="0" fontId="9" fillId="0" borderId="0" xfId="1" applyFont="1"/>
    <xf numFmtId="1" fontId="8" fillId="5" borderId="46" xfId="1" applyNumberFormat="1" applyFont="1" applyFill="1" applyBorder="1" applyAlignment="1">
      <alignment horizontal="center" vertical="center"/>
    </xf>
    <xf numFmtId="4" fontId="8" fillId="5" borderId="46" xfId="1" applyNumberFormat="1" applyFont="1" applyFill="1" applyBorder="1" applyAlignment="1">
      <alignment horizontal="center" vertical="center"/>
    </xf>
    <xf numFmtId="0" fontId="8" fillId="5" borderId="46" xfId="1" applyFont="1" applyFill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25" fillId="0" borderId="0" xfId="1" applyFont="1"/>
    <xf numFmtId="0" fontId="12" fillId="2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5" borderId="10" xfId="1" applyFont="1" applyFill="1" applyBorder="1" applyAlignment="1">
      <alignment vertical="center"/>
    </xf>
    <xf numFmtId="0" fontId="8" fillId="5" borderId="11" xfId="1" applyFont="1" applyFill="1" applyBorder="1" applyAlignment="1">
      <alignment horizontal="center" vertical="center" wrapText="1"/>
    </xf>
    <xf numFmtId="0" fontId="8" fillId="5" borderId="12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9" fillId="7" borderId="11" xfId="1" applyFont="1" applyFill="1" applyBorder="1" applyAlignment="1">
      <alignment horizontal="center" vertical="center" wrapText="1"/>
    </xf>
    <xf numFmtId="0" fontId="19" fillId="7" borderId="28" xfId="1" applyFont="1" applyFill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center"/>
    </xf>
    <xf numFmtId="167" fontId="8" fillId="5" borderId="16" xfId="1" applyNumberFormat="1" applyFont="1" applyFill="1" applyBorder="1" applyAlignment="1">
      <alignment horizontal="center" vertical="center"/>
    </xf>
    <xf numFmtId="167" fontId="27" fillId="5" borderId="1" xfId="1" applyNumberFormat="1" applyFont="1" applyFill="1" applyBorder="1" applyAlignment="1">
      <alignment horizontal="center" vertical="center" wrapText="1"/>
    </xf>
    <xf numFmtId="167" fontId="8" fillId="5" borderId="1" xfId="1" applyNumberFormat="1" applyFont="1" applyFill="1" applyBorder="1" applyAlignment="1">
      <alignment horizontal="center" vertical="center" wrapText="1"/>
    </xf>
    <xf numFmtId="165" fontId="8" fillId="0" borderId="27" xfId="1" applyNumberFormat="1" applyFont="1" applyBorder="1" applyAlignment="1" applyProtection="1">
      <alignment horizontal="center" vertical="center"/>
      <protection locked="0"/>
    </xf>
    <xf numFmtId="165" fontId="17" fillId="0" borderId="0" xfId="1" applyNumberFormat="1" applyFont="1" applyAlignment="1">
      <alignment horizontal="center" vertical="center" wrapText="1"/>
    </xf>
    <xf numFmtId="167" fontId="8" fillId="5" borderId="15" xfId="1" applyNumberFormat="1" applyFont="1" applyFill="1" applyBorder="1" applyAlignment="1">
      <alignment horizontal="center" vertical="center" wrapText="1"/>
    </xf>
    <xf numFmtId="10" fontId="16" fillId="6" borderId="0" xfId="1" applyNumberFormat="1" applyFill="1"/>
    <xf numFmtId="4" fontId="16" fillId="0" borderId="0" xfId="1" applyNumberFormat="1" applyProtection="1">
      <protection locked="0"/>
    </xf>
    <xf numFmtId="10" fontId="20" fillId="8" borderId="0" xfId="1" applyNumberFormat="1" applyFont="1" applyFill="1" applyAlignment="1" applyProtection="1">
      <alignment horizontal="center" vertical="center"/>
      <protection locked="0"/>
    </xf>
    <xf numFmtId="4" fontId="16" fillId="0" borderId="0" xfId="1" applyNumberFormat="1"/>
    <xf numFmtId="167" fontId="8" fillId="5" borderId="24" xfId="1" applyNumberFormat="1" applyFont="1" applyFill="1" applyBorder="1" applyAlignment="1">
      <alignment horizontal="center" vertical="center"/>
    </xf>
    <xf numFmtId="0" fontId="8" fillId="5" borderId="9" xfId="1" applyFont="1" applyFill="1" applyBorder="1" applyAlignment="1">
      <alignment horizontal="center" vertical="center"/>
    </xf>
    <xf numFmtId="167" fontId="27" fillId="5" borderId="25" xfId="1" applyNumberFormat="1" applyFont="1" applyFill="1" applyBorder="1" applyAlignment="1">
      <alignment horizontal="center" vertical="center" wrapText="1"/>
    </xf>
    <xf numFmtId="167" fontId="8" fillId="5" borderId="25" xfId="1" applyNumberFormat="1" applyFont="1" applyFill="1" applyBorder="1" applyAlignment="1">
      <alignment horizontal="center" vertical="center" wrapText="1"/>
    </xf>
    <xf numFmtId="165" fontId="8" fillId="0" borderId="26" xfId="1" applyNumberFormat="1" applyFont="1" applyBorder="1" applyAlignment="1" applyProtection="1">
      <alignment horizontal="center" vertical="center" wrapText="1"/>
      <protection locked="0"/>
    </xf>
    <xf numFmtId="0" fontId="8" fillId="5" borderId="21" xfId="1" applyFont="1" applyFill="1" applyBorder="1" applyAlignment="1">
      <alignment horizontal="center" vertical="center"/>
    </xf>
    <xf numFmtId="167" fontId="8" fillId="5" borderId="15" xfId="1" applyNumberFormat="1" applyFont="1" applyFill="1" applyBorder="1" applyAlignment="1">
      <alignment horizontal="center" vertical="center"/>
    </xf>
    <xf numFmtId="167" fontId="8" fillId="0" borderId="15" xfId="1" applyNumberFormat="1" applyFont="1" applyBorder="1" applyAlignment="1" applyProtection="1">
      <alignment horizontal="center" vertical="center"/>
      <protection locked="0"/>
    </xf>
    <xf numFmtId="165" fontId="8" fillId="0" borderId="23" xfId="1" applyNumberFormat="1" applyFont="1" applyBorder="1" applyAlignment="1" applyProtection="1">
      <alignment horizontal="center" vertical="center" wrapText="1"/>
      <protection locked="0"/>
    </xf>
    <xf numFmtId="0" fontId="3" fillId="5" borderId="17" xfId="1" applyFont="1" applyFill="1" applyBorder="1" applyAlignment="1">
      <alignment horizontal="center" vertical="center"/>
    </xf>
    <xf numFmtId="167" fontId="3" fillId="5" borderId="18" xfId="1" applyNumberFormat="1" applyFont="1" applyFill="1" applyBorder="1" applyAlignment="1">
      <alignment horizontal="center" vertical="center"/>
    </xf>
    <xf numFmtId="167" fontId="3" fillId="5" borderId="7" xfId="1" applyNumberFormat="1" applyFont="1" applyFill="1" applyBorder="1" applyAlignment="1">
      <alignment horizontal="center" vertical="center" wrapText="1"/>
    </xf>
    <xf numFmtId="167" fontId="3" fillId="5" borderId="19" xfId="1" applyNumberFormat="1" applyFont="1" applyFill="1" applyBorder="1" applyAlignment="1">
      <alignment horizontal="center" vertical="center" wrapText="1"/>
    </xf>
    <xf numFmtId="3" fontId="13" fillId="0" borderId="5" xfId="1" applyNumberFormat="1" applyFont="1" applyBorder="1" applyAlignment="1">
      <alignment vertical="center"/>
    </xf>
    <xf numFmtId="166" fontId="6" fillId="0" borderId="0" xfId="1" applyNumberFormat="1" applyFont="1" applyAlignment="1">
      <alignment horizontal="center" vertical="center" wrapText="1"/>
    </xf>
    <xf numFmtId="167" fontId="8" fillId="0" borderId="0" xfId="1" applyNumberFormat="1" applyFont="1" applyAlignment="1">
      <alignment horizontal="center" vertical="center" wrapText="1"/>
    </xf>
    <xf numFmtId="10" fontId="25" fillId="6" borderId="0" xfId="1" applyNumberFormat="1" applyFont="1" applyFill="1"/>
    <xf numFmtId="8" fontId="6" fillId="0" borderId="0" xfId="1" applyNumberFormat="1" applyFont="1" applyAlignment="1">
      <alignment horizontal="center" vertical="center" wrapText="1"/>
    </xf>
    <xf numFmtId="4" fontId="6" fillId="4" borderId="6" xfId="1" applyNumberFormat="1" applyFont="1" applyFill="1" applyBorder="1" applyAlignment="1">
      <alignment horizontal="center" vertical="center" wrapText="1"/>
    </xf>
    <xf numFmtId="4" fontId="6" fillId="0" borderId="2" xfId="1" applyNumberFormat="1" applyFont="1" applyBorder="1" applyAlignment="1">
      <alignment horizontal="center" vertical="center" wrapText="1"/>
    </xf>
    <xf numFmtId="164" fontId="8" fillId="0" borderId="0" xfId="1" applyNumberFormat="1" applyFont="1" applyAlignment="1">
      <alignment horizontal="center" vertical="center" wrapText="1"/>
    </xf>
    <xf numFmtId="167" fontId="6" fillId="4" borderId="2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Alignment="1">
      <alignment horizontal="center" vertical="center" wrapText="1"/>
    </xf>
    <xf numFmtId="167" fontId="6" fillId="4" borderId="0" xfId="1" applyNumberFormat="1" applyFont="1" applyFill="1" applyAlignment="1">
      <alignment horizontal="center" vertical="center"/>
    </xf>
    <xf numFmtId="0" fontId="6" fillId="4" borderId="0" xfId="1" applyFont="1" applyFill="1" applyAlignment="1">
      <alignment horizontal="center" vertical="center"/>
    </xf>
    <xf numFmtId="167" fontId="6" fillId="4" borderId="0" xfId="1" applyNumberFormat="1" applyFont="1" applyFill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6" fillId="5" borderId="5" xfId="1" applyFont="1" applyFill="1" applyBorder="1" applyAlignment="1">
      <alignment horizontal="left" vertical="center"/>
    </xf>
    <xf numFmtId="0" fontId="8" fillId="5" borderId="13" xfId="1" applyFont="1" applyFill="1" applyBorder="1" applyAlignment="1">
      <alignment horizontal="left" vertical="center"/>
    </xf>
    <xf numFmtId="0" fontId="8" fillId="5" borderId="14" xfId="1" applyFont="1" applyFill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horizontal="center"/>
    </xf>
    <xf numFmtId="0" fontId="15" fillId="0" borderId="0" xfId="1" applyFont="1" applyAlignment="1">
      <alignment horizontal="left"/>
    </xf>
    <xf numFmtId="4" fontId="26" fillId="0" borderId="0" xfId="1" applyNumberFormat="1" applyFont="1"/>
    <xf numFmtId="0" fontId="18" fillId="5" borderId="5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167" fontId="8" fillId="5" borderId="22" xfId="0" applyNumberFormat="1" applyFont="1" applyFill="1" applyBorder="1" applyAlignment="1">
      <alignment horizontal="center" vertical="center" wrapText="1"/>
    </xf>
    <xf numFmtId="167" fontId="8" fillId="5" borderId="41" xfId="0" applyNumberFormat="1" applyFont="1" applyFill="1" applyBorder="1" applyAlignment="1">
      <alignment horizontal="center" vertical="center" wrapText="1"/>
    </xf>
    <xf numFmtId="167" fontId="8" fillId="5" borderId="42" xfId="0" applyNumberFormat="1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left" vertical="center" wrapText="1"/>
    </xf>
    <xf numFmtId="0" fontId="27" fillId="5" borderId="37" xfId="0" applyFont="1" applyFill="1" applyBorder="1" applyAlignment="1">
      <alignment horizontal="left" vertical="center" wrapText="1"/>
    </xf>
    <xf numFmtId="0" fontId="27" fillId="5" borderId="38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/>
    </xf>
    <xf numFmtId="0" fontId="15" fillId="0" borderId="0" xfId="0" applyFont="1" applyAlignment="1">
      <alignment horizontal="left"/>
    </xf>
    <xf numFmtId="0" fontId="6" fillId="3" borderId="3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4" borderId="36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30" xfId="0" applyFont="1" applyFill="1" applyBorder="1" applyAlignment="1">
      <alignment horizontal="left" vertical="center" wrapText="1"/>
    </xf>
    <xf numFmtId="0" fontId="27" fillId="5" borderId="6" xfId="1" applyFont="1" applyFill="1" applyBorder="1" applyAlignment="1">
      <alignment horizontal="left" vertical="center" wrapText="1"/>
    </xf>
    <xf numFmtId="0" fontId="27" fillId="5" borderId="37" xfId="1" applyFont="1" applyFill="1" applyBorder="1" applyAlignment="1">
      <alignment horizontal="left" vertical="center" wrapText="1"/>
    </xf>
    <xf numFmtId="0" fontId="27" fillId="5" borderId="38" xfId="1" applyFont="1" applyFill="1" applyBorder="1" applyAlignment="1">
      <alignment horizontal="left" vertical="center" wrapText="1"/>
    </xf>
    <xf numFmtId="0" fontId="3" fillId="5" borderId="0" xfId="1" applyFont="1" applyFill="1" applyAlignment="1">
      <alignment horizontal="left" vertical="center"/>
    </xf>
    <xf numFmtId="0" fontId="15" fillId="0" borderId="0" xfId="1" applyFont="1" applyAlignment="1">
      <alignment horizontal="left"/>
    </xf>
    <xf numFmtId="0" fontId="6" fillId="3" borderId="31" xfId="1" applyFont="1" applyFill="1" applyBorder="1" applyAlignment="1">
      <alignment horizontal="center" vertical="center" wrapText="1"/>
    </xf>
    <xf numFmtId="0" fontId="16" fillId="0" borderId="32" xfId="1" applyBorder="1" applyAlignment="1">
      <alignment horizontal="center" vertical="center" wrapText="1"/>
    </xf>
    <xf numFmtId="0" fontId="6" fillId="0" borderId="33" xfId="1" applyFont="1" applyBorder="1" applyAlignment="1" applyProtection="1">
      <alignment horizontal="center" vertical="center"/>
      <protection locked="0"/>
    </xf>
    <xf numFmtId="0" fontId="6" fillId="0" borderId="34" xfId="1" applyFont="1" applyBorder="1" applyAlignment="1" applyProtection="1">
      <alignment horizontal="center" vertical="center"/>
      <protection locked="0"/>
    </xf>
    <xf numFmtId="0" fontId="6" fillId="0" borderId="35" xfId="1" applyFont="1" applyBorder="1" applyAlignment="1" applyProtection="1">
      <alignment horizontal="center" vertical="center"/>
      <protection locked="0"/>
    </xf>
    <xf numFmtId="0" fontId="6" fillId="4" borderId="36" xfId="1" applyFont="1" applyFill="1" applyBorder="1" applyAlignment="1">
      <alignment horizontal="center" vertical="center"/>
    </xf>
    <xf numFmtId="0" fontId="6" fillId="4" borderId="20" xfId="1" applyFont="1" applyFill="1" applyBorder="1" applyAlignment="1">
      <alignment horizontal="center" vertical="center"/>
    </xf>
    <xf numFmtId="0" fontId="8" fillId="5" borderId="29" xfId="1" applyFont="1" applyFill="1" applyBorder="1" applyAlignment="1">
      <alignment horizontal="left" vertical="center" wrapText="1"/>
    </xf>
    <xf numFmtId="0" fontId="8" fillId="5" borderId="0" xfId="1" applyFont="1" applyFill="1" applyAlignment="1">
      <alignment horizontal="left" vertical="center" wrapText="1"/>
    </xf>
    <xf numFmtId="0" fontId="8" fillId="5" borderId="30" xfId="1" applyFont="1" applyFill="1" applyBorder="1" applyAlignment="1">
      <alignment horizontal="left" vertical="center" wrapText="1"/>
    </xf>
    <xf numFmtId="0" fontId="18" fillId="5" borderId="5" xfId="1" applyFont="1" applyFill="1" applyBorder="1" applyAlignment="1">
      <alignment horizontal="center" vertical="center" wrapText="1"/>
    </xf>
    <xf numFmtId="0" fontId="18" fillId="5" borderId="13" xfId="1" applyFont="1" applyFill="1" applyBorder="1" applyAlignment="1">
      <alignment horizontal="center" vertical="center" wrapText="1"/>
    </xf>
    <xf numFmtId="0" fontId="18" fillId="5" borderId="14" xfId="1" applyFont="1" applyFill="1" applyBorder="1" applyAlignment="1">
      <alignment horizontal="center" vertical="center" wrapText="1"/>
    </xf>
    <xf numFmtId="0" fontId="1" fillId="5" borderId="6" xfId="1" applyFont="1" applyFill="1" applyBorder="1" applyAlignment="1">
      <alignment horizontal="center" vertical="center"/>
    </xf>
    <xf numFmtId="0" fontId="1" fillId="5" borderId="37" xfId="1" applyFont="1" applyFill="1" applyBorder="1" applyAlignment="1">
      <alignment horizontal="center" vertical="center"/>
    </xf>
    <xf numFmtId="0" fontId="1" fillId="5" borderId="38" xfId="1" applyFont="1" applyFill="1" applyBorder="1" applyAlignment="1">
      <alignment horizontal="center" vertical="center"/>
    </xf>
    <xf numFmtId="0" fontId="4" fillId="5" borderId="31" xfId="1" applyFont="1" applyFill="1" applyBorder="1" applyAlignment="1">
      <alignment horizontal="center" vertical="center" wrapText="1"/>
    </xf>
    <xf numFmtId="0" fontId="4" fillId="5" borderId="34" xfId="1" applyFont="1" applyFill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6" fillId="3" borderId="39" xfId="1" applyFont="1" applyFill="1" applyBorder="1" applyAlignment="1">
      <alignment horizontal="center" vertical="center"/>
    </xf>
    <xf numFmtId="0" fontId="6" fillId="3" borderId="40" xfId="1" applyFont="1" applyFill="1" applyBorder="1" applyAlignment="1">
      <alignment horizontal="center" vertical="center"/>
    </xf>
    <xf numFmtId="0" fontId="3" fillId="5" borderId="43" xfId="1" applyFont="1" applyFill="1" applyBorder="1" applyAlignment="1">
      <alignment horizontal="center" vertical="center" wrapText="1"/>
    </xf>
    <xf numFmtId="0" fontId="21" fillId="0" borderId="44" xfId="1" applyFont="1" applyBorder="1" applyAlignment="1">
      <alignment horizontal="center" vertical="center" wrapText="1"/>
    </xf>
    <xf numFmtId="0" fontId="3" fillId="5" borderId="29" xfId="1" applyFont="1" applyFill="1" applyBorder="1" applyAlignment="1">
      <alignment horizontal="center" vertical="center" wrapText="1"/>
    </xf>
    <xf numFmtId="0" fontId="21" fillId="0" borderId="28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45" xfId="1" applyFont="1" applyBorder="1" applyAlignment="1">
      <alignment horizontal="center" vertical="center" wrapText="1"/>
    </xf>
    <xf numFmtId="167" fontId="8" fillId="5" borderId="22" xfId="1" applyNumberFormat="1" applyFont="1" applyFill="1" applyBorder="1" applyAlignment="1">
      <alignment horizontal="center" vertical="center" wrapText="1"/>
    </xf>
    <xf numFmtId="167" fontId="8" fillId="5" borderId="41" xfId="1" applyNumberFormat="1" applyFont="1" applyFill="1" applyBorder="1" applyAlignment="1">
      <alignment horizontal="center" vertical="center" wrapText="1"/>
    </xf>
    <xf numFmtId="167" fontId="8" fillId="5" borderId="42" xfId="1" applyNumberFormat="1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 wrapText="1"/>
    </xf>
    <xf numFmtId="0" fontId="3" fillId="5" borderId="49" xfId="0" applyFont="1" applyFill="1" applyBorder="1" applyAlignment="1">
      <alignment horizontal="center" vertical="center" wrapText="1"/>
    </xf>
    <xf numFmtId="167" fontId="3" fillId="5" borderId="48" xfId="0" applyNumberFormat="1" applyFont="1" applyFill="1" applyBorder="1" applyAlignment="1">
      <alignment horizontal="center" vertical="center" wrapText="1"/>
    </xf>
    <xf numFmtId="167" fontId="3" fillId="5" borderId="49" xfId="0" applyNumberFormat="1" applyFont="1" applyFill="1" applyBorder="1" applyAlignment="1">
      <alignment horizontal="center" vertical="center" wrapText="1"/>
    </xf>
    <xf numFmtId="167" fontId="3" fillId="5" borderId="50" xfId="0" applyNumberFormat="1" applyFont="1" applyFill="1" applyBorder="1" applyAlignment="1">
      <alignment horizontal="center" vertical="center" wrapText="1"/>
    </xf>
    <xf numFmtId="0" fontId="8" fillId="5" borderId="48" xfId="0" applyFont="1" applyFill="1" applyBorder="1" applyAlignment="1">
      <alignment horizontal="center" vertical="center" wrapText="1"/>
    </xf>
    <xf numFmtId="0" fontId="8" fillId="5" borderId="49" xfId="0" applyFont="1" applyFill="1" applyBorder="1" applyAlignment="1">
      <alignment horizontal="center" vertical="center" wrapText="1"/>
    </xf>
    <xf numFmtId="167" fontId="8" fillId="5" borderId="48" xfId="0" applyNumberFormat="1" applyFont="1" applyFill="1" applyBorder="1" applyAlignment="1">
      <alignment horizontal="center" vertical="center" wrapText="1"/>
    </xf>
    <xf numFmtId="167" fontId="8" fillId="5" borderId="49" xfId="0" applyNumberFormat="1" applyFont="1" applyFill="1" applyBorder="1" applyAlignment="1">
      <alignment horizontal="center" vertical="center" wrapText="1"/>
    </xf>
    <xf numFmtId="167" fontId="8" fillId="5" borderId="50" xfId="0" applyNumberFormat="1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4" fillId="5" borderId="31" xfId="0" applyFont="1" applyFill="1" applyBorder="1" applyAlignment="1" applyProtection="1">
      <alignment horizontal="center" vertical="center" wrapText="1"/>
    </xf>
    <xf numFmtId="0" fontId="4" fillId="5" borderId="34" xfId="0" applyFont="1" applyFill="1" applyBorder="1" applyAlignment="1" applyProtection="1">
      <alignment horizontal="center" vertical="center" wrapText="1"/>
    </xf>
    <xf numFmtId="0" fontId="5" fillId="0" borderId="34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5C74784F-892E-4420-96B1-AD816E09D38A}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9072</xdr:rowOff>
    </xdr:from>
    <xdr:to>
      <xdr:col>2</xdr:col>
      <xdr:colOff>535209</xdr:colOff>
      <xdr:row>2</xdr:row>
      <xdr:rowOff>299357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22374C-03DF-4E6E-9F69-1A58A7E99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313872"/>
          <a:ext cx="1963959" cy="5950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1397000</xdr:colOff>
      <xdr:row>2</xdr:row>
      <xdr:rowOff>137342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581496-16F9-40CD-A72D-E409B3DC7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04800"/>
          <a:ext cx="1397000" cy="4421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9072</xdr:rowOff>
    </xdr:from>
    <xdr:to>
      <xdr:col>2</xdr:col>
      <xdr:colOff>535209</xdr:colOff>
      <xdr:row>2</xdr:row>
      <xdr:rowOff>299357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80A756-6285-431B-9AA0-9B721E987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313872"/>
          <a:ext cx="1963959" cy="5950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330200</xdr:colOff>
      <xdr:row>0</xdr:row>
      <xdr:rowOff>110673</xdr:rowOff>
    </xdr:from>
    <xdr:to>
      <xdr:col>6</xdr:col>
      <xdr:colOff>1627657</xdr:colOff>
      <xdr:row>3</xdr:row>
      <xdr:rowOff>25401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2767B9D-B994-48A5-9B37-888AC0BC9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5700" y="110673"/>
          <a:ext cx="1297457" cy="3973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134327</xdr:rowOff>
    </xdr:from>
    <xdr:to>
      <xdr:col>1</xdr:col>
      <xdr:colOff>476285</xdr:colOff>
      <xdr:row>3</xdr:row>
      <xdr:rowOff>125130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FF8A59-193E-436B-99E4-DB1CA9B87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327"/>
          <a:ext cx="1233400" cy="4792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3ECC1-9D21-415C-BDC5-40FC7475B463}">
  <sheetPr>
    <pageSetUpPr fitToPage="1"/>
  </sheetPr>
  <dimension ref="A1:R60"/>
  <sheetViews>
    <sheetView tabSelected="1" zoomScale="70" zoomScaleNormal="70" workbookViewId="0">
      <selection activeCell="C7" sqref="C7"/>
    </sheetView>
  </sheetViews>
  <sheetFormatPr baseColWidth="10" defaultRowHeight="12.5" x14ac:dyDescent="0.25"/>
  <cols>
    <col min="2" max="2" width="20.453125" customWidth="1"/>
    <col min="3" max="3" width="24.1796875" customWidth="1"/>
    <col min="4" max="4" width="33.1796875" customWidth="1"/>
    <col min="5" max="5" width="33" customWidth="1"/>
    <col min="6" max="6" width="35.453125" customWidth="1"/>
    <col min="7" max="7" width="26.453125" customWidth="1"/>
    <col min="8" max="8" width="2.81640625" customWidth="1"/>
    <col min="9" max="9" width="10.90625" hidden="1" customWidth="1"/>
    <col min="10" max="10" width="11.54296875" hidden="1" customWidth="1"/>
    <col min="11" max="11" width="18.1796875" hidden="1" customWidth="1"/>
    <col min="12" max="12" width="12.54296875" hidden="1" customWidth="1"/>
    <col min="13" max="15" width="11.54296875" hidden="1" customWidth="1"/>
    <col min="16" max="16" width="23.6328125" hidden="1" customWidth="1"/>
    <col min="17" max="18" width="11.54296875" hidden="1" customWidth="1"/>
  </cols>
  <sheetData>
    <row r="1" spans="1:16" ht="24" customHeight="1" x14ac:dyDescent="0.25">
      <c r="B1" s="3"/>
      <c r="C1" s="3"/>
      <c r="D1" s="3"/>
      <c r="E1" s="3"/>
      <c r="F1" s="3"/>
      <c r="G1" s="3"/>
    </row>
    <row r="2" spans="1:16" ht="24" customHeight="1" x14ac:dyDescent="0.25">
      <c r="B2" s="3"/>
      <c r="C2" s="3"/>
      <c r="D2" s="3"/>
      <c r="E2" s="3"/>
      <c r="F2" s="3"/>
      <c r="G2" s="3"/>
    </row>
    <row r="3" spans="1:16" ht="24" customHeight="1" x14ac:dyDescent="0.25">
      <c r="B3" s="3"/>
      <c r="C3" s="3"/>
      <c r="D3" s="3"/>
      <c r="E3" s="3"/>
      <c r="F3" s="3"/>
      <c r="G3" s="3"/>
    </row>
    <row r="4" spans="1:16" ht="24" customHeight="1" thickBot="1" x14ac:dyDescent="0.3">
      <c r="B4" s="3"/>
      <c r="C4" s="3"/>
      <c r="D4" s="3"/>
      <c r="E4" s="3"/>
      <c r="F4" s="3"/>
      <c r="G4" s="3"/>
    </row>
    <row r="5" spans="1:16" ht="66" customHeight="1" thickTop="1" x14ac:dyDescent="0.25">
      <c r="B5" s="3"/>
      <c r="C5" s="144" t="s">
        <v>0</v>
      </c>
      <c r="D5" s="145"/>
      <c r="E5" s="145"/>
      <c r="F5" s="146"/>
    </row>
    <row r="6" spans="1:16" ht="44.25" customHeight="1" thickBot="1" x14ac:dyDescent="0.3">
      <c r="B6" s="4"/>
      <c r="C6" s="147" t="s">
        <v>64</v>
      </c>
      <c r="D6" s="148"/>
      <c r="E6" s="148"/>
      <c r="F6" s="149"/>
    </row>
    <row r="7" spans="1:16" ht="19.5" customHeight="1" thickTop="1" thickBot="1" x14ac:dyDescent="0.3">
      <c r="B7" s="42"/>
      <c r="C7" s="42"/>
      <c r="D7" s="42"/>
      <c r="E7" s="42"/>
      <c r="F7" s="42"/>
      <c r="G7" s="42"/>
    </row>
    <row r="8" spans="1:16" ht="60.75" customHeight="1" thickTop="1" thickBot="1" x14ac:dyDescent="0.3">
      <c r="B8" s="150" t="s">
        <v>44</v>
      </c>
      <c r="C8" s="151"/>
      <c r="D8" s="152"/>
      <c r="E8" s="152"/>
      <c r="F8" s="152"/>
      <c r="G8" s="153"/>
    </row>
    <row r="9" spans="1:16" ht="20.149999999999999" customHeight="1" thickTop="1" thickBot="1" x14ac:dyDescent="0.3">
      <c r="B9" s="43"/>
      <c r="C9" s="43"/>
      <c r="D9" s="43"/>
      <c r="E9" s="43"/>
      <c r="F9" s="43"/>
      <c r="G9" s="43"/>
    </row>
    <row r="10" spans="1:16" ht="84" customHeight="1" thickTop="1" x14ac:dyDescent="0.25">
      <c r="B10" s="154" t="s">
        <v>1</v>
      </c>
      <c r="C10" s="155"/>
      <c r="D10" s="7" t="s">
        <v>29</v>
      </c>
      <c r="E10" s="7" t="s">
        <v>30</v>
      </c>
      <c r="F10" s="7" t="s">
        <v>2</v>
      </c>
      <c r="G10" s="8" t="s">
        <v>3</v>
      </c>
    </row>
    <row r="11" spans="1:16" ht="20.149999999999999" customHeight="1" x14ac:dyDescent="0.35">
      <c r="B11" s="156" t="s">
        <v>45</v>
      </c>
      <c r="C11" s="157"/>
      <c r="D11" s="38" t="s">
        <v>46</v>
      </c>
      <c r="E11" s="38" t="s">
        <v>47</v>
      </c>
      <c r="F11" s="38" t="s">
        <v>48</v>
      </c>
      <c r="G11" s="162">
        <f>+C33</f>
        <v>16416</v>
      </c>
      <c r="H11" s="2"/>
      <c r="I11" s="2"/>
      <c r="J11" s="2"/>
      <c r="K11" s="2"/>
      <c r="L11" s="2"/>
      <c r="M11" s="2"/>
      <c r="N11" s="2"/>
      <c r="O11" s="2"/>
      <c r="P11" s="2"/>
    </row>
    <row r="12" spans="1:16" ht="20.149999999999999" customHeight="1" x14ac:dyDescent="0.35">
      <c r="B12" s="158"/>
      <c r="C12" s="159"/>
      <c r="D12" s="38"/>
      <c r="E12" s="38"/>
      <c r="F12" s="38"/>
      <c r="G12" s="163"/>
      <c r="H12" s="2"/>
      <c r="I12" s="2"/>
      <c r="J12" s="2"/>
      <c r="K12" s="2"/>
      <c r="L12" s="2"/>
      <c r="M12" s="2"/>
      <c r="N12" s="2"/>
      <c r="O12" s="2"/>
      <c r="P12" s="2"/>
    </row>
    <row r="13" spans="1:16" ht="20.149999999999999" customHeight="1" thickBot="1" x14ac:dyDescent="0.4">
      <c r="B13" s="160"/>
      <c r="C13" s="161"/>
      <c r="D13" s="39"/>
      <c r="E13" s="40"/>
      <c r="F13" s="41"/>
      <c r="G13" s="164"/>
      <c r="H13" s="2"/>
      <c r="I13" s="2"/>
      <c r="J13" s="2"/>
      <c r="K13" s="2"/>
      <c r="L13" s="2"/>
      <c r="M13" s="2"/>
      <c r="N13" s="2"/>
      <c r="O13" s="2"/>
      <c r="P13" s="2"/>
    </row>
    <row r="14" spans="1:16" ht="20.149999999999999" customHeight="1" thickTop="1" thickBot="1" x14ac:dyDescent="0.3">
      <c r="B14" s="46"/>
      <c r="C14" s="46"/>
      <c r="D14" s="46"/>
      <c r="E14" s="4"/>
      <c r="F14" s="4"/>
      <c r="G14" s="4"/>
    </row>
    <row r="15" spans="1:16" ht="85.5" customHeight="1" thickTop="1" thickBot="1" x14ac:dyDescent="0.3">
      <c r="B15" s="170" t="s">
        <v>4</v>
      </c>
      <c r="C15" s="171"/>
      <c r="D15" s="172"/>
      <c r="E15" s="173"/>
      <c r="F15" s="173"/>
      <c r="G15" s="174"/>
    </row>
    <row r="16" spans="1:16" ht="13.5" thickTop="1" thickBot="1" x14ac:dyDescent="0.3">
      <c r="A16" s="47">
        <v>0.02</v>
      </c>
      <c r="B16" s="48">
        <v>0.03</v>
      </c>
      <c r="C16" s="49"/>
      <c r="D16" s="4"/>
      <c r="E16" s="4"/>
      <c r="F16" s="4"/>
      <c r="G16" s="3"/>
    </row>
    <row r="17" spans="2:16" ht="109.4" customHeight="1" thickTop="1" thickBot="1" x14ac:dyDescent="0.3">
      <c r="B17" s="12"/>
      <c r="C17" s="13" t="s">
        <v>5</v>
      </c>
      <c r="D17" s="13" t="s">
        <v>40</v>
      </c>
      <c r="E17" s="13" t="s">
        <v>41</v>
      </c>
      <c r="F17" s="14" t="s">
        <v>43</v>
      </c>
      <c r="G17" s="50"/>
      <c r="K17" s="24" t="s">
        <v>23</v>
      </c>
      <c r="L17" s="24" t="s">
        <v>22</v>
      </c>
      <c r="M17" s="24" t="s">
        <v>21</v>
      </c>
      <c r="N17" s="24" t="s">
        <v>20</v>
      </c>
      <c r="O17" s="35" t="s">
        <v>39</v>
      </c>
    </row>
    <row r="18" spans="2:16" ht="35.15" customHeight="1" thickBot="1" x14ac:dyDescent="0.3">
      <c r="B18" s="10" t="s">
        <v>6</v>
      </c>
      <c r="C18" s="20">
        <v>1569</v>
      </c>
      <c r="D18" s="36">
        <f>O18</f>
        <v>57000</v>
      </c>
      <c r="E18" s="31" t="str">
        <f>IF(F18&lt;&gt;"",ROUNDUP(K18,2),IF(F18="",""))</f>
        <v/>
      </c>
      <c r="F18" s="34"/>
      <c r="G18" s="51" t="str">
        <f>IF(F18&lt;3.5%," % INFERIOR MÍNIMO EXIGIDO, VER OBSERVACIONES",IF(E18=C18,"se aplica la renta mínima garantizada",""))</f>
        <v xml:space="preserve"> % INFERIOR MÍNIMO EXIGIDO, VER OBSERVACIONES</v>
      </c>
      <c r="K18" s="18" t="str">
        <f>IF(F18&lt;&gt;"",IF(((D18*0.8)*L18)&gt;=C18,(D18*0.8)*L18,C18),IF(F18="",""))</f>
        <v/>
      </c>
      <c r="L18" s="52">
        <f>IF(F18&lt;3.5%&gt;"",ROUND(F18,3),"")</f>
        <v>0</v>
      </c>
      <c r="M18" s="53">
        <v>3600</v>
      </c>
      <c r="N18" s="25">
        <v>0.01</v>
      </c>
      <c r="O18" s="29">
        <v>57000</v>
      </c>
      <c r="P18" s="32">
        <f>+O18</f>
        <v>57000</v>
      </c>
    </row>
    <row r="19" spans="2:16" ht="35.15" customHeight="1" thickBot="1" x14ac:dyDescent="0.3">
      <c r="B19" s="11" t="s">
        <v>7</v>
      </c>
      <c r="C19" s="32">
        <f>C18*1.01</f>
        <v>1584.69</v>
      </c>
      <c r="D19" s="37">
        <f>P19</f>
        <v>57570</v>
      </c>
      <c r="E19" s="33" t="str">
        <f t="shared" ref="E19:E32" si="0">IF(F19&lt;&gt;"",ROUNDUP(K19,2),IF(F19="",""))</f>
        <v/>
      </c>
      <c r="F19" s="54"/>
      <c r="G19" s="51" t="str">
        <f>IF(OR(F19&gt;F18+2/100,F19&lt;F18),"DIFERENCIA % NO PERMITIDA, VER OBSERVACIONES",IF(E19=C19,"se aplica la renta mínima garantizada",""))</f>
        <v/>
      </c>
      <c r="K19" s="18" t="str">
        <f t="shared" ref="K19:K32" si="1">IF(F19&lt;&gt;"",IF(((D19*0.8)*L19)&gt;=C19,(D19*0.8)*L19,C19),IF(F19="",""))</f>
        <v/>
      </c>
      <c r="L19" s="52" t="str">
        <f t="shared" ref="L19:L32" si="2">IF(F19&lt;&gt;"",ROUND(F19,3),"")</f>
        <v/>
      </c>
      <c r="M19" s="29">
        <f t="shared" ref="M19:M32" si="3">+IF(M18&lt;&gt;"",M18*(1+$N$18),"")</f>
        <v>3636</v>
      </c>
      <c r="O19" s="29">
        <f t="shared" ref="O19:O27" si="4">+IF(O18&lt;&gt;"",O18*(1+$N$18),"")</f>
        <v>57570</v>
      </c>
      <c r="P19" s="32">
        <f>IF(O19&lt;&gt;"",ROUNDUP(O19,0),"")</f>
        <v>57570</v>
      </c>
    </row>
    <row r="20" spans="2:16" ht="35.15" customHeight="1" thickBot="1" x14ac:dyDescent="0.3">
      <c r="B20" s="11" t="s">
        <v>8</v>
      </c>
      <c r="C20" s="32">
        <f t="shared" ref="C20:C27" si="5">C19*1.01</f>
        <v>1600.5369000000001</v>
      </c>
      <c r="D20" s="37">
        <f t="shared" ref="D20:D27" si="6">P20</f>
        <v>58146</v>
      </c>
      <c r="E20" s="33" t="str">
        <f t="shared" si="0"/>
        <v/>
      </c>
      <c r="F20" s="54"/>
      <c r="G20" s="51" t="str">
        <f t="shared" ref="G20:G32" si="7">IF(OR(F20&gt;F19+2/100,F20&lt;F19),"DIFERENCIA % NO PERMITIDA, VER OBSERVACIONES",IF(E20=C20,"se aplica la renta mínima garantizada",""))</f>
        <v/>
      </c>
      <c r="K20" s="18" t="str">
        <f t="shared" si="1"/>
        <v/>
      </c>
      <c r="L20" s="52" t="str">
        <f t="shared" si="2"/>
        <v/>
      </c>
      <c r="M20" s="29">
        <f t="shared" si="3"/>
        <v>3672.36</v>
      </c>
      <c r="O20" s="29">
        <f t="shared" si="4"/>
        <v>58145.7</v>
      </c>
      <c r="P20" s="32">
        <f t="shared" ref="P20:P32" si="8">IF(O20&lt;&gt;"",ROUNDUP(O20,0),"")</f>
        <v>58146</v>
      </c>
    </row>
    <row r="21" spans="2:16" ht="35.15" customHeight="1" thickBot="1" x14ac:dyDescent="0.3">
      <c r="B21" s="11" t="s">
        <v>9</v>
      </c>
      <c r="C21" s="32">
        <f t="shared" si="5"/>
        <v>1616.542269</v>
      </c>
      <c r="D21" s="37">
        <f t="shared" si="6"/>
        <v>58728</v>
      </c>
      <c r="E21" s="33" t="str">
        <f t="shared" si="0"/>
        <v/>
      </c>
      <c r="F21" s="54"/>
      <c r="G21" s="51" t="str">
        <f t="shared" si="7"/>
        <v/>
      </c>
      <c r="K21" s="18" t="str">
        <f t="shared" si="1"/>
        <v/>
      </c>
      <c r="L21" s="52" t="str">
        <f t="shared" si="2"/>
        <v/>
      </c>
      <c r="M21" s="29">
        <f t="shared" si="3"/>
        <v>3709.0836000000004</v>
      </c>
      <c r="O21" s="29">
        <f t="shared" si="4"/>
        <v>58727.156999999999</v>
      </c>
      <c r="P21" s="32">
        <f t="shared" si="8"/>
        <v>58728</v>
      </c>
    </row>
    <row r="22" spans="2:16" ht="35.15" customHeight="1" thickBot="1" x14ac:dyDescent="0.3">
      <c r="B22" s="11" t="s">
        <v>10</v>
      </c>
      <c r="C22" s="32">
        <f t="shared" si="5"/>
        <v>1632.70769169</v>
      </c>
      <c r="D22" s="37">
        <f t="shared" si="6"/>
        <v>59315</v>
      </c>
      <c r="E22" s="33" t="str">
        <f t="shared" si="0"/>
        <v/>
      </c>
      <c r="F22" s="54"/>
      <c r="G22" s="51" t="str">
        <f t="shared" si="7"/>
        <v/>
      </c>
      <c r="K22" s="18" t="str">
        <f t="shared" si="1"/>
        <v/>
      </c>
      <c r="L22" s="52" t="str">
        <f t="shared" si="2"/>
        <v/>
      </c>
      <c r="M22" s="29">
        <f t="shared" si="3"/>
        <v>3746.1744360000002</v>
      </c>
      <c r="O22" s="29">
        <f t="shared" si="4"/>
        <v>59314.428569999996</v>
      </c>
      <c r="P22" s="32">
        <f t="shared" si="8"/>
        <v>59315</v>
      </c>
    </row>
    <row r="23" spans="2:16" ht="35.15" customHeight="1" thickBot="1" x14ac:dyDescent="0.3">
      <c r="B23" s="11" t="s">
        <v>11</v>
      </c>
      <c r="C23" s="32">
        <f t="shared" si="5"/>
        <v>1649.0347686069001</v>
      </c>
      <c r="D23" s="37">
        <f t="shared" si="6"/>
        <v>59908</v>
      </c>
      <c r="E23" s="33" t="str">
        <f t="shared" si="0"/>
        <v/>
      </c>
      <c r="F23" s="54"/>
      <c r="G23" s="51" t="str">
        <f t="shared" si="7"/>
        <v/>
      </c>
      <c r="K23" s="18" t="str">
        <f t="shared" si="1"/>
        <v/>
      </c>
      <c r="L23" s="52" t="str">
        <f t="shared" si="2"/>
        <v/>
      </c>
      <c r="M23" s="29">
        <f t="shared" si="3"/>
        <v>3783.6361803600003</v>
      </c>
      <c r="O23" s="29">
        <f t="shared" si="4"/>
        <v>59907.572855699997</v>
      </c>
      <c r="P23" s="32">
        <f t="shared" si="8"/>
        <v>59908</v>
      </c>
    </row>
    <row r="24" spans="2:16" ht="35.15" customHeight="1" thickBot="1" x14ac:dyDescent="0.3">
      <c r="B24" s="11" t="s">
        <v>12</v>
      </c>
      <c r="C24" s="32">
        <f t="shared" si="5"/>
        <v>1665.5251162929692</v>
      </c>
      <c r="D24" s="37">
        <f t="shared" si="6"/>
        <v>60507</v>
      </c>
      <c r="E24" s="33" t="str">
        <f t="shared" si="0"/>
        <v/>
      </c>
      <c r="F24" s="54"/>
      <c r="G24" s="51" t="str">
        <f t="shared" si="7"/>
        <v/>
      </c>
      <c r="K24" s="18" t="str">
        <f t="shared" si="1"/>
        <v/>
      </c>
      <c r="L24" s="52" t="str">
        <f t="shared" si="2"/>
        <v/>
      </c>
      <c r="M24" s="29">
        <f t="shared" si="3"/>
        <v>3821.4725421636003</v>
      </c>
      <c r="N24" s="29"/>
      <c r="O24" s="29">
        <f t="shared" si="4"/>
        <v>60506.648584256996</v>
      </c>
      <c r="P24" s="32">
        <f t="shared" si="8"/>
        <v>60507</v>
      </c>
    </row>
    <row r="25" spans="2:16" ht="35.15" customHeight="1" thickBot="1" x14ac:dyDescent="0.3">
      <c r="B25" s="11" t="s">
        <v>17</v>
      </c>
      <c r="C25" s="32">
        <f t="shared" si="5"/>
        <v>1682.1803674558989</v>
      </c>
      <c r="D25" s="37">
        <f t="shared" si="6"/>
        <v>61112</v>
      </c>
      <c r="E25" s="33" t="str">
        <f t="shared" si="0"/>
        <v/>
      </c>
      <c r="F25" s="54"/>
      <c r="G25" s="51" t="str">
        <f t="shared" si="7"/>
        <v/>
      </c>
      <c r="K25" s="18" t="str">
        <f t="shared" si="1"/>
        <v/>
      </c>
      <c r="L25" s="52" t="str">
        <f t="shared" si="2"/>
        <v/>
      </c>
      <c r="M25" s="29">
        <f t="shared" si="3"/>
        <v>3859.6872675852364</v>
      </c>
      <c r="O25" s="29">
        <f t="shared" si="4"/>
        <v>61111.71507009957</v>
      </c>
      <c r="P25" s="32">
        <f t="shared" si="8"/>
        <v>61112</v>
      </c>
    </row>
    <row r="26" spans="2:16" ht="35.15" customHeight="1" thickBot="1" x14ac:dyDescent="0.3">
      <c r="B26" s="11" t="s">
        <v>18</v>
      </c>
      <c r="C26" s="32">
        <f t="shared" si="5"/>
        <v>1699.002171130458</v>
      </c>
      <c r="D26" s="37">
        <f t="shared" si="6"/>
        <v>61723</v>
      </c>
      <c r="E26" s="33" t="str">
        <f t="shared" si="0"/>
        <v/>
      </c>
      <c r="F26" s="54"/>
      <c r="G26" s="51" t="str">
        <f t="shared" si="7"/>
        <v/>
      </c>
      <c r="K26" s="18" t="str">
        <f t="shared" si="1"/>
        <v/>
      </c>
      <c r="L26" s="52" t="str">
        <f t="shared" si="2"/>
        <v/>
      </c>
      <c r="M26" s="29">
        <f t="shared" si="3"/>
        <v>3898.2841402610889</v>
      </c>
      <c r="O26" s="29">
        <f t="shared" si="4"/>
        <v>61722.832220800563</v>
      </c>
      <c r="P26" s="32">
        <f t="shared" si="8"/>
        <v>61723</v>
      </c>
    </row>
    <row r="27" spans="2:16" ht="35.15" customHeight="1" thickBot="1" x14ac:dyDescent="0.3">
      <c r="B27" s="11" t="s">
        <v>19</v>
      </c>
      <c r="C27" s="32">
        <f t="shared" si="5"/>
        <v>1715.9921928417625</v>
      </c>
      <c r="D27" s="37">
        <f t="shared" si="6"/>
        <v>62341</v>
      </c>
      <c r="E27" s="33" t="str">
        <f t="shared" si="0"/>
        <v/>
      </c>
      <c r="F27" s="54"/>
      <c r="G27" s="51" t="str">
        <f t="shared" si="7"/>
        <v/>
      </c>
      <c r="K27" s="18" t="str">
        <f t="shared" si="1"/>
        <v/>
      </c>
      <c r="L27" s="52" t="str">
        <f t="shared" si="2"/>
        <v/>
      </c>
      <c r="M27" s="29">
        <f t="shared" si="3"/>
        <v>3937.2669816636999</v>
      </c>
      <c r="O27" s="29">
        <f t="shared" si="4"/>
        <v>62340.060543008571</v>
      </c>
      <c r="P27" s="32">
        <f t="shared" si="8"/>
        <v>62341</v>
      </c>
    </row>
    <row r="28" spans="2:16" ht="35.15" hidden="1" customHeight="1" thickBot="1" x14ac:dyDescent="0.3">
      <c r="B28" s="26" t="s">
        <v>24</v>
      </c>
      <c r="C28" s="27">
        <f t="shared" ref="C28:C32" si="9">IF(M28&lt;&gt;"",ROUNDUP(M28,0),"")</f>
        <v>3977</v>
      </c>
      <c r="D28" s="55"/>
      <c r="E28" s="18"/>
      <c r="F28" s="56"/>
      <c r="G28" s="51" t="str">
        <f t="shared" si="7"/>
        <v/>
      </c>
      <c r="K28" s="18" t="str">
        <f t="shared" si="1"/>
        <v/>
      </c>
      <c r="L28" s="52" t="str">
        <f t="shared" si="2"/>
        <v/>
      </c>
      <c r="M28" s="29">
        <f t="shared" si="3"/>
        <v>3976.6396514803369</v>
      </c>
      <c r="P28" s="32" t="str">
        <f t="shared" si="8"/>
        <v/>
      </c>
    </row>
    <row r="29" spans="2:16" ht="35.15" hidden="1" customHeight="1" thickBot="1" x14ac:dyDescent="0.3">
      <c r="B29" s="26" t="s">
        <v>25</v>
      </c>
      <c r="C29" s="27">
        <f t="shared" si="9"/>
        <v>4017</v>
      </c>
      <c r="D29" s="55"/>
      <c r="E29" s="18" t="str">
        <f t="shared" si="0"/>
        <v/>
      </c>
      <c r="F29" s="56"/>
      <c r="G29" s="51" t="str">
        <f t="shared" si="7"/>
        <v/>
      </c>
      <c r="K29" s="18" t="str">
        <f t="shared" si="1"/>
        <v/>
      </c>
      <c r="L29" s="52" t="str">
        <f t="shared" si="2"/>
        <v/>
      </c>
      <c r="M29" s="29">
        <f t="shared" si="3"/>
        <v>4016.4060479951404</v>
      </c>
      <c r="P29" s="32" t="str">
        <f t="shared" si="8"/>
        <v/>
      </c>
    </row>
    <row r="30" spans="2:16" ht="35.15" hidden="1" customHeight="1" thickBot="1" x14ac:dyDescent="0.3">
      <c r="B30" s="26" t="s">
        <v>26</v>
      </c>
      <c r="C30" s="27">
        <f t="shared" si="9"/>
        <v>4057</v>
      </c>
      <c r="D30" s="55"/>
      <c r="E30" s="18" t="str">
        <f t="shared" si="0"/>
        <v/>
      </c>
      <c r="F30" s="56"/>
      <c r="G30" s="51" t="str">
        <f t="shared" si="7"/>
        <v/>
      </c>
      <c r="K30" s="18" t="str">
        <f t="shared" si="1"/>
        <v/>
      </c>
      <c r="L30" s="52" t="str">
        <f t="shared" si="2"/>
        <v/>
      </c>
      <c r="M30" s="29">
        <f t="shared" si="3"/>
        <v>4056.5701084750917</v>
      </c>
      <c r="P30" s="32" t="str">
        <f t="shared" si="8"/>
        <v/>
      </c>
    </row>
    <row r="31" spans="2:16" ht="35.15" hidden="1" customHeight="1" thickBot="1" x14ac:dyDescent="0.3">
      <c r="B31" s="26" t="s">
        <v>27</v>
      </c>
      <c r="C31" s="27">
        <f t="shared" si="9"/>
        <v>4098</v>
      </c>
      <c r="D31" s="55"/>
      <c r="E31" s="18" t="str">
        <f t="shared" si="0"/>
        <v/>
      </c>
      <c r="F31" s="56"/>
      <c r="G31" s="51" t="str">
        <f t="shared" si="7"/>
        <v/>
      </c>
      <c r="K31" s="18" t="str">
        <f t="shared" si="1"/>
        <v/>
      </c>
      <c r="L31" s="52" t="str">
        <f t="shared" si="2"/>
        <v/>
      </c>
      <c r="M31" s="29">
        <f t="shared" si="3"/>
        <v>4097.1358095598425</v>
      </c>
      <c r="P31" s="32" t="str">
        <f t="shared" si="8"/>
        <v/>
      </c>
    </row>
    <row r="32" spans="2:16" ht="35.15" hidden="1" customHeight="1" thickBot="1" x14ac:dyDescent="0.3">
      <c r="B32" s="26" t="s">
        <v>28</v>
      </c>
      <c r="C32" s="27">
        <f t="shared" si="9"/>
        <v>4139</v>
      </c>
      <c r="D32" s="55"/>
      <c r="E32" s="18" t="str">
        <f t="shared" si="0"/>
        <v/>
      </c>
      <c r="F32" s="56"/>
      <c r="G32" s="51" t="str">
        <f t="shared" si="7"/>
        <v/>
      </c>
      <c r="K32" s="18" t="str">
        <f t="shared" si="1"/>
        <v/>
      </c>
      <c r="L32" s="52" t="str">
        <f t="shared" si="2"/>
        <v/>
      </c>
      <c r="M32" s="29">
        <f t="shared" si="3"/>
        <v>4138.1071676554411</v>
      </c>
      <c r="P32" s="32" t="str">
        <f t="shared" si="8"/>
        <v/>
      </c>
    </row>
    <row r="33" spans="2:16" ht="101.25" customHeight="1" thickTop="1" thickBot="1" x14ac:dyDescent="0.3">
      <c r="B33" s="21" t="s">
        <v>13</v>
      </c>
      <c r="C33" s="22">
        <v>16416</v>
      </c>
      <c r="D33" s="9">
        <f>IF(D18&lt;&gt;"",SUM(D18:D27),"")</f>
        <v>596350</v>
      </c>
      <c r="E33" s="23">
        <f>SUM(E18:E27)</f>
        <v>0</v>
      </c>
      <c r="F33" s="57"/>
      <c r="G33" s="58"/>
      <c r="K33" s="59"/>
      <c r="L33" s="19">
        <f>ROUND(F33,3)</f>
        <v>0</v>
      </c>
      <c r="M33" s="29">
        <f>SUM(M18:M32)</f>
        <v>57948.82393319947</v>
      </c>
      <c r="O33" s="29">
        <f>SUM(O18:O32)</f>
        <v>596346.11484386574</v>
      </c>
      <c r="P33" s="32">
        <f>SUM(P18:P32)</f>
        <v>596350</v>
      </c>
    </row>
    <row r="34" spans="2:16" ht="44.25" hidden="1" customHeight="1" thickTop="1" thickBot="1" x14ac:dyDescent="0.3">
      <c r="B34" s="60"/>
      <c r="C34" s="175" t="s">
        <v>14</v>
      </c>
      <c r="D34" s="175"/>
      <c r="E34" s="61" t="e">
        <f>+IF(D18&lt;&gt;"",NPV($B$16,E19:E27)+E18,"")</f>
        <v>#VALUE!</v>
      </c>
      <c r="F34" s="62"/>
      <c r="G34" s="60"/>
      <c r="K34" s="63"/>
      <c r="L34" s="19">
        <f>ROUND(F34,3)</f>
        <v>0</v>
      </c>
    </row>
    <row r="35" spans="2:16" ht="44.25" hidden="1" customHeight="1" thickTop="1" thickBot="1" x14ac:dyDescent="0.3">
      <c r="B35" s="60"/>
      <c r="C35" s="176" t="s">
        <v>14</v>
      </c>
      <c r="D35" s="176"/>
      <c r="E35" s="64" t="str">
        <f>IF(E18&lt;&gt;"",NPV($A$16,E19,E20,E21,E22,E23,E24,E25,E26,E27,E28,E29,E30,E31,E32)+E18,"")</f>
        <v/>
      </c>
      <c r="F35" s="65"/>
      <c r="G35" s="60"/>
      <c r="K35" s="63"/>
      <c r="L35" s="19"/>
    </row>
    <row r="36" spans="2:16" ht="44.25" hidden="1" customHeight="1" thickTop="1" x14ac:dyDescent="0.25">
      <c r="B36" s="60" t="s">
        <v>37</v>
      </c>
      <c r="C36" s="66">
        <f>AVERAGE(C18:C25)</f>
        <v>1625.027139130721</v>
      </c>
      <c r="D36" s="67"/>
      <c r="E36" s="68"/>
      <c r="F36" s="65"/>
      <c r="G36" s="60"/>
      <c r="K36" s="63"/>
      <c r="L36" s="19"/>
    </row>
    <row r="37" spans="2:16" ht="33" hidden="1" customHeight="1" x14ac:dyDescent="0.25">
      <c r="B37" s="4" t="s">
        <v>38</v>
      </c>
      <c r="C37" s="4">
        <f>+C18/6</f>
        <v>261.5</v>
      </c>
      <c r="D37" s="69"/>
      <c r="E37" s="4"/>
      <c r="F37" s="4"/>
      <c r="G37" s="4"/>
      <c r="K37" s="63"/>
      <c r="L37" s="19">
        <f>ROUND(F37,3)</f>
        <v>0</v>
      </c>
    </row>
    <row r="38" spans="2:16" ht="33" customHeight="1" thickTop="1" thickBot="1" x14ac:dyDescent="0.3">
      <c r="B38" s="4"/>
      <c r="C38" s="4"/>
      <c r="D38" s="69"/>
      <c r="E38" s="4"/>
      <c r="F38" s="4"/>
      <c r="G38" s="4"/>
      <c r="K38" s="63"/>
      <c r="L38" s="19"/>
    </row>
    <row r="39" spans="2:16" s="3" customFormat="1" ht="20" thickTop="1" x14ac:dyDescent="0.25">
      <c r="B39" s="15" t="s">
        <v>15</v>
      </c>
      <c r="C39" s="16"/>
      <c r="D39" s="16"/>
      <c r="E39" s="16"/>
      <c r="F39" s="16"/>
      <c r="G39" s="17"/>
    </row>
    <row r="40" spans="2:16" s="3" customFormat="1" ht="37.5" customHeight="1" x14ac:dyDescent="0.25">
      <c r="B40" s="177" t="s">
        <v>57</v>
      </c>
      <c r="C40" s="178"/>
      <c r="D40" s="178"/>
      <c r="E40" s="178"/>
      <c r="F40" s="178"/>
      <c r="G40" s="179"/>
    </row>
    <row r="41" spans="2:16" s="3" customFormat="1" ht="134.15" customHeight="1" x14ac:dyDescent="0.25">
      <c r="B41" s="177" t="s">
        <v>58</v>
      </c>
      <c r="C41" s="178"/>
      <c r="D41" s="178"/>
      <c r="E41" s="178"/>
      <c r="F41" s="178"/>
      <c r="G41" s="179"/>
    </row>
    <row r="42" spans="2:16" s="3" customFormat="1" ht="61" customHeight="1" thickBot="1" x14ac:dyDescent="0.3">
      <c r="B42" s="165" t="s">
        <v>42</v>
      </c>
      <c r="C42" s="166"/>
      <c r="D42" s="166"/>
      <c r="E42" s="166"/>
      <c r="F42" s="166"/>
      <c r="G42" s="167"/>
    </row>
    <row r="43" spans="2:16" s="3" customFormat="1" ht="33" customHeight="1" thickTop="1" x14ac:dyDescent="0.25"/>
    <row r="44" spans="2:16" ht="27.75" customHeight="1" x14ac:dyDescent="0.25">
      <c r="B44" s="6"/>
      <c r="C44" s="6"/>
      <c r="D44" s="6"/>
      <c r="E44" s="6"/>
      <c r="F44" s="6"/>
      <c r="G44" s="6"/>
    </row>
    <row r="45" spans="2:16" ht="26.25" customHeight="1" x14ac:dyDescent="0.25">
      <c r="B45" s="168" t="s">
        <v>16</v>
      </c>
      <c r="C45" s="168"/>
      <c r="D45" s="168"/>
      <c r="E45" s="168"/>
      <c r="F45" s="168"/>
      <c r="G45" s="168"/>
    </row>
    <row r="46" spans="2:16" ht="15" customHeight="1" x14ac:dyDescent="0.35">
      <c r="B46" s="70"/>
      <c r="C46" s="70"/>
      <c r="D46" s="70"/>
      <c r="E46" s="2"/>
      <c r="F46" s="2"/>
      <c r="G46" s="2"/>
    </row>
    <row r="47" spans="2:16" ht="7.5" customHeight="1" x14ac:dyDescent="0.25"/>
    <row r="48" spans="2:16" ht="15" hidden="1" customHeight="1" x14ac:dyDescent="0.3">
      <c r="B48" s="169"/>
      <c r="C48" s="169"/>
      <c r="D48" s="169"/>
      <c r="E48" s="169"/>
      <c r="F48" s="74"/>
      <c r="G48" s="74"/>
    </row>
    <row r="49" spans="1:4" ht="17.149999999999999" hidden="1" customHeight="1" x14ac:dyDescent="0.25">
      <c r="B49" s="30" t="s">
        <v>33</v>
      </c>
      <c r="C49" s="30" t="s">
        <v>31</v>
      </c>
      <c r="D49" s="30" t="s">
        <v>32</v>
      </c>
    </row>
    <row r="50" spans="1:4" ht="13.5" hidden="1" x14ac:dyDescent="0.25">
      <c r="B50" s="28" t="e">
        <f>#REF!</f>
        <v>#REF!</v>
      </c>
      <c r="C50" s="29" t="e">
        <f>+B50*0.21</f>
        <v>#REF!</v>
      </c>
      <c r="D50" s="29" t="e">
        <f>SUM(B50:C50)</f>
        <v>#REF!</v>
      </c>
    </row>
    <row r="51" spans="1:4" hidden="1" x14ac:dyDescent="0.25"/>
    <row r="52" spans="1:4" hidden="1" x14ac:dyDescent="0.25">
      <c r="A52" t="s">
        <v>36</v>
      </c>
      <c r="B52" t="e">
        <f>+B50/7</f>
        <v>#REF!</v>
      </c>
    </row>
    <row r="53" spans="1:4" hidden="1" x14ac:dyDescent="0.25">
      <c r="A53" t="s">
        <v>35</v>
      </c>
    </row>
    <row r="54" spans="1:4" hidden="1" x14ac:dyDescent="0.25"/>
    <row r="55" spans="1:4" hidden="1" x14ac:dyDescent="0.25">
      <c r="A55" t="s">
        <v>34</v>
      </c>
      <c r="B55">
        <f>170000/12*2</f>
        <v>28333.333333333332</v>
      </c>
    </row>
    <row r="56" spans="1:4" hidden="1" x14ac:dyDescent="0.25"/>
    <row r="57" spans="1:4" hidden="1" x14ac:dyDescent="0.25"/>
    <row r="58" spans="1:4" hidden="1" x14ac:dyDescent="0.25"/>
    <row r="59" spans="1:4" hidden="1" x14ac:dyDescent="0.25"/>
    <row r="60" spans="1:4" hidden="1" x14ac:dyDescent="0.25"/>
  </sheetData>
  <sheetProtection algorithmName="SHA-512" hashValue="6t7X2cC39TG8DQs30RPULoYEtJJmQedp3Ns7PbfDJAVAmzc27M0FgUcvRbQS7tddUlRX89grO8PnDpk4VDJkCg==" saltValue="o9elYLKCIstrEaXwzyZtbQ==" spinCount="100000" sheet="1" objects="1" scenarios="1"/>
  <dataConsolidate/>
  <mergeCells count="15">
    <mergeCell ref="B42:G42"/>
    <mergeCell ref="B45:G45"/>
    <mergeCell ref="B48:E48"/>
    <mergeCell ref="B15:C15"/>
    <mergeCell ref="D15:G15"/>
    <mergeCell ref="C34:D34"/>
    <mergeCell ref="C35:D35"/>
    <mergeCell ref="B40:G40"/>
    <mergeCell ref="B41:G41"/>
    <mergeCell ref="C5:F5"/>
    <mergeCell ref="C6:F6"/>
    <mergeCell ref="B8:G8"/>
    <mergeCell ref="B10:C10"/>
    <mergeCell ref="B11:C13"/>
    <mergeCell ref="G11:G13"/>
  </mergeCells>
  <conditionalFormatting sqref="G19:G32 F20:F32">
    <cfRule type="expression" dxfId="23" priority="7" stopIfTrue="1">
      <formula>E19=0</formula>
    </cfRule>
  </conditionalFormatting>
  <conditionalFormatting sqref="F19:F32">
    <cfRule type="cellIs" dxfId="22" priority="8" stopIfTrue="1" operator="notBetween">
      <formula>F18</formula>
      <formula>F18+2/100</formula>
    </cfRule>
  </conditionalFormatting>
  <conditionalFormatting sqref="F19">
    <cfRule type="expression" dxfId="21" priority="6" stopIfTrue="1">
      <formula>E19=0</formula>
    </cfRule>
  </conditionalFormatting>
  <conditionalFormatting sqref="G18">
    <cfRule type="expression" dxfId="20" priority="5" stopIfTrue="1">
      <formula>F18=0</formula>
    </cfRule>
  </conditionalFormatting>
  <conditionalFormatting sqref="G18">
    <cfRule type="expression" dxfId="19" priority="4" stopIfTrue="1">
      <formula>F18=0</formula>
    </cfRule>
  </conditionalFormatting>
  <conditionalFormatting sqref="G18">
    <cfRule type="expression" dxfId="18" priority="3" stopIfTrue="1">
      <formula>F18=0</formula>
    </cfRule>
  </conditionalFormatting>
  <conditionalFormatting sqref="G18">
    <cfRule type="expression" dxfId="17" priority="2" stopIfTrue="1">
      <formula>F18=0</formula>
    </cfRule>
  </conditionalFormatting>
  <conditionalFormatting sqref="G18">
    <cfRule type="expression" dxfId="16" priority="1" stopIfTrue="1">
      <formula>F18=0</formula>
    </cfRule>
  </conditionalFormatting>
  <dataValidations count="2">
    <dataValidation type="custom" allowBlank="1" showInputMessage="1" showErrorMessage="1" error="Porcentaje de variable no permitido. Ver Observaciones" sqref="F18" xr:uid="{CDB9E6FA-0789-4207-A6FB-722B7EFC44D9}">
      <formula1>+IF(OR(F18&lt;2%,F18&gt;10%),"ERROR",F18)</formula1>
    </dataValidation>
    <dataValidation type="custom" allowBlank="1" showInputMessage="1" showErrorMessage="1" sqref="F19:F32" xr:uid="{12258DA0-A9EB-421E-935E-5C2D9FB4F5D3}">
      <formula1>+IF(AND(F19&gt;=F18,F19&lt;=F18+2%),F19,"ERROR")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53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FBD11-C0FB-487D-BF7A-320FA36F2594}">
  <sheetPr>
    <pageSetUpPr fitToPage="1"/>
  </sheetPr>
  <dimension ref="A1:P57"/>
  <sheetViews>
    <sheetView zoomScale="70" zoomScaleNormal="70" workbookViewId="0">
      <selection activeCell="C5" sqref="C5:F5"/>
    </sheetView>
  </sheetViews>
  <sheetFormatPr baseColWidth="10" defaultRowHeight="12.5" x14ac:dyDescent="0.25"/>
  <cols>
    <col min="1" max="1" width="10.90625" style="75"/>
    <col min="2" max="2" width="20.453125" style="75" customWidth="1"/>
    <col min="3" max="3" width="24.1796875" style="75" customWidth="1"/>
    <col min="4" max="4" width="33.1796875" style="75" customWidth="1"/>
    <col min="5" max="5" width="33" style="75" customWidth="1"/>
    <col min="6" max="6" width="34.1796875" style="75" customWidth="1"/>
    <col min="7" max="7" width="26.453125" style="75" customWidth="1"/>
    <col min="8" max="8" width="2.81640625" style="75" customWidth="1"/>
    <col min="9" max="9" width="10.90625" style="75" hidden="1" customWidth="1"/>
    <col min="10" max="10" width="11.54296875" style="75" hidden="1" customWidth="1"/>
    <col min="11" max="11" width="18.1796875" style="75" hidden="1" customWidth="1"/>
    <col min="12" max="12" width="12.54296875" style="75" hidden="1" customWidth="1"/>
    <col min="13" max="15" width="11.54296875" style="75" hidden="1" customWidth="1"/>
    <col min="16" max="16" width="23.6328125" style="75" hidden="1" customWidth="1"/>
    <col min="17" max="18" width="11.54296875" style="75" customWidth="1"/>
    <col min="19" max="16384" width="10.90625" style="75"/>
  </cols>
  <sheetData>
    <row r="1" spans="1:16" ht="24" customHeight="1" x14ac:dyDescent="0.25">
      <c r="B1" s="76"/>
      <c r="C1" s="76"/>
      <c r="D1" s="76"/>
      <c r="E1" s="76"/>
      <c r="F1" s="76"/>
      <c r="G1" s="76"/>
    </row>
    <row r="2" spans="1:16" ht="24" customHeight="1" x14ac:dyDescent="0.25">
      <c r="B2" s="76"/>
      <c r="C2" s="76"/>
      <c r="D2" s="76"/>
      <c r="E2" s="76"/>
      <c r="F2" s="76"/>
      <c r="G2" s="76"/>
    </row>
    <row r="3" spans="1:16" ht="24" customHeight="1" x14ac:dyDescent="0.25">
      <c r="B3" s="76"/>
      <c r="C3" s="76"/>
      <c r="D3" s="76"/>
      <c r="E3" s="76"/>
      <c r="F3" s="76"/>
      <c r="G3" s="76"/>
    </row>
    <row r="4" spans="1:16" ht="24" customHeight="1" thickBot="1" x14ac:dyDescent="0.3">
      <c r="B4" s="76"/>
      <c r="C4" s="76"/>
      <c r="D4" s="76"/>
      <c r="E4" s="76"/>
      <c r="F4" s="76"/>
      <c r="G4" s="76"/>
    </row>
    <row r="5" spans="1:16" ht="66" customHeight="1" thickTop="1" x14ac:dyDescent="0.25">
      <c r="B5" s="76"/>
      <c r="C5" s="195" t="s">
        <v>0</v>
      </c>
      <c r="D5" s="196"/>
      <c r="E5" s="196"/>
      <c r="F5" s="197"/>
    </row>
    <row r="6" spans="1:16" ht="44.25" customHeight="1" thickBot="1" x14ac:dyDescent="0.3">
      <c r="B6" s="77"/>
      <c r="C6" s="198" t="s">
        <v>65</v>
      </c>
      <c r="D6" s="199"/>
      <c r="E6" s="199"/>
      <c r="F6" s="200"/>
    </row>
    <row r="7" spans="1:16" ht="19.5" customHeight="1" thickTop="1" thickBot="1" x14ac:dyDescent="0.3">
      <c r="B7" s="78"/>
      <c r="C7" s="78"/>
      <c r="D7" s="78"/>
      <c r="E7" s="78"/>
      <c r="F7" s="78"/>
      <c r="G7" s="78"/>
    </row>
    <row r="8" spans="1:16" ht="60.75" customHeight="1" thickTop="1" thickBot="1" x14ac:dyDescent="0.3">
      <c r="B8" s="201" t="s">
        <v>44</v>
      </c>
      <c r="C8" s="202"/>
      <c r="D8" s="203"/>
      <c r="E8" s="203"/>
      <c r="F8" s="203"/>
      <c r="G8" s="204"/>
    </row>
    <row r="9" spans="1:16" ht="20.149999999999999" customHeight="1" thickTop="1" thickBot="1" x14ac:dyDescent="0.3">
      <c r="B9" s="79"/>
      <c r="C9" s="79"/>
      <c r="D9" s="79"/>
      <c r="E9" s="79"/>
      <c r="F9" s="79"/>
      <c r="G9" s="79"/>
    </row>
    <row r="10" spans="1:16" ht="84" customHeight="1" thickTop="1" x14ac:dyDescent="0.25">
      <c r="B10" s="205" t="s">
        <v>1</v>
      </c>
      <c r="C10" s="206"/>
      <c r="D10" s="80" t="s">
        <v>29</v>
      </c>
      <c r="E10" s="80" t="s">
        <v>30</v>
      </c>
      <c r="F10" s="80" t="s">
        <v>2</v>
      </c>
      <c r="G10" s="81" t="s">
        <v>3</v>
      </c>
    </row>
    <row r="11" spans="1:16" ht="20.149999999999999" customHeight="1" x14ac:dyDescent="0.35">
      <c r="B11" s="207" t="s">
        <v>49</v>
      </c>
      <c r="C11" s="208"/>
      <c r="D11" s="82">
        <v>9929</v>
      </c>
      <c r="E11" s="83">
        <v>124.66</v>
      </c>
      <c r="F11" s="84" t="s">
        <v>48</v>
      </c>
      <c r="G11" s="213">
        <f>+C33</f>
        <v>75327.93029606725</v>
      </c>
      <c r="H11" s="85"/>
      <c r="I11" s="85"/>
      <c r="J11" s="85"/>
      <c r="K11" s="85"/>
      <c r="L11" s="85"/>
      <c r="M11" s="85"/>
      <c r="N11" s="85"/>
      <c r="O11" s="85"/>
      <c r="P11" s="85"/>
    </row>
    <row r="12" spans="1:16" ht="20.149999999999999" customHeight="1" x14ac:dyDescent="0.35">
      <c r="B12" s="209"/>
      <c r="C12" s="210"/>
      <c r="D12" s="82">
        <v>13178</v>
      </c>
      <c r="E12" s="83">
        <v>198</v>
      </c>
      <c r="F12" s="84" t="s">
        <v>50</v>
      </c>
      <c r="G12" s="214"/>
      <c r="H12" s="85"/>
      <c r="I12" s="85"/>
      <c r="J12" s="85"/>
      <c r="K12" s="85"/>
      <c r="L12" s="85"/>
      <c r="M12" s="85"/>
      <c r="N12" s="85"/>
      <c r="O12" s="85"/>
      <c r="P12" s="85"/>
    </row>
    <row r="13" spans="1:16" ht="20.149999999999999" customHeight="1" thickBot="1" x14ac:dyDescent="0.4">
      <c r="B13" s="211"/>
      <c r="C13" s="212"/>
      <c r="D13" s="86"/>
      <c r="E13" s="87"/>
      <c r="F13" s="88"/>
      <c r="G13" s="215"/>
      <c r="H13" s="85"/>
      <c r="I13" s="85"/>
      <c r="J13" s="85"/>
      <c r="K13" s="85"/>
      <c r="L13" s="85"/>
      <c r="M13" s="85"/>
      <c r="N13" s="85"/>
      <c r="O13" s="85"/>
      <c r="P13" s="85"/>
    </row>
    <row r="14" spans="1:16" ht="20.149999999999999" customHeight="1" thickTop="1" thickBot="1" x14ac:dyDescent="0.3">
      <c r="B14" s="89"/>
      <c r="C14" s="89"/>
      <c r="D14" s="89"/>
      <c r="E14" s="77"/>
      <c r="F14" s="77"/>
      <c r="G14" s="77"/>
    </row>
    <row r="15" spans="1:16" ht="85.5" customHeight="1" thickTop="1" thickBot="1" x14ac:dyDescent="0.3">
      <c r="B15" s="185" t="s">
        <v>4</v>
      </c>
      <c r="C15" s="186"/>
      <c r="D15" s="187"/>
      <c r="E15" s="188"/>
      <c r="F15" s="188"/>
      <c r="G15" s="189"/>
    </row>
    <row r="16" spans="1:16" ht="13.5" thickTop="1" thickBot="1" x14ac:dyDescent="0.3">
      <c r="A16" s="90">
        <v>0.02</v>
      </c>
      <c r="B16" s="91">
        <v>0.03</v>
      </c>
      <c r="C16" s="92"/>
      <c r="D16" s="77"/>
      <c r="E16" s="77"/>
      <c r="F16" s="77"/>
      <c r="G16" s="76"/>
    </row>
    <row r="17" spans="2:16" ht="109.4" customHeight="1" thickTop="1" thickBot="1" x14ac:dyDescent="0.3">
      <c r="B17" s="93"/>
      <c r="C17" s="94" t="s">
        <v>5</v>
      </c>
      <c r="D17" s="94" t="s">
        <v>40</v>
      </c>
      <c r="E17" s="94" t="s">
        <v>41</v>
      </c>
      <c r="F17" s="95" t="s">
        <v>43</v>
      </c>
      <c r="G17" s="96"/>
      <c r="K17" s="97" t="s">
        <v>23</v>
      </c>
      <c r="L17" s="97" t="s">
        <v>22</v>
      </c>
      <c r="M17" s="97" t="s">
        <v>21</v>
      </c>
      <c r="N17" s="97" t="s">
        <v>20</v>
      </c>
      <c r="O17" s="98" t="s">
        <v>39</v>
      </c>
    </row>
    <row r="18" spans="2:16" ht="35.15" customHeight="1" thickBot="1" x14ac:dyDescent="0.3">
      <c r="B18" s="99" t="s">
        <v>6</v>
      </c>
      <c r="C18" s="100">
        <v>7200</v>
      </c>
      <c r="D18" s="101">
        <f>O18</f>
        <v>200000</v>
      </c>
      <c r="E18" s="102" t="str">
        <f>IF(F18&lt;&gt;"",ROUNDUP(K18,2),IF(F18="",""))</f>
        <v/>
      </c>
      <c r="F18" s="103"/>
      <c r="G18" s="104" t="str">
        <f>IF(F18&lt;4.5%," % INFERIOR MÍNIMO EXIGIDO, VER OBSERVACIONES",IF(E18=C18,"se aplica la renta mínima garantizada",""))</f>
        <v xml:space="preserve"> % INFERIOR MÍNIMO EXIGIDO, VER OBSERVACIONES</v>
      </c>
      <c r="K18" s="105" t="str">
        <f>IF(F18&lt;&gt;"",IF(((D18*0.8)*L18)&gt;=C18,(D18*0.8)*L18,C18),IF(F18="",""))</f>
        <v/>
      </c>
      <c r="L18" s="106">
        <f>IF(F18&lt;4.5%&gt;"",ROUND(F18,3),"")</f>
        <v>0</v>
      </c>
      <c r="M18" s="107">
        <v>7200</v>
      </c>
      <c r="N18" s="108">
        <v>0.01</v>
      </c>
      <c r="O18" s="109">
        <v>200000</v>
      </c>
      <c r="P18" s="110">
        <f>+O18</f>
        <v>200000</v>
      </c>
    </row>
    <row r="19" spans="2:16" ht="35.15" customHeight="1" thickBot="1" x14ac:dyDescent="0.3">
      <c r="B19" s="111" t="s">
        <v>7</v>
      </c>
      <c r="C19" s="110">
        <f>C18*1.01</f>
        <v>7272</v>
      </c>
      <c r="D19" s="112">
        <f>P19</f>
        <v>202000</v>
      </c>
      <c r="E19" s="113" t="str">
        <f t="shared" ref="E19:E32" si="0">IF(F19&lt;&gt;"",ROUNDUP(K19,2),IF(F19="",""))</f>
        <v/>
      </c>
      <c r="F19" s="114"/>
      <c r="G19" s="104" t="str">
        <f>IF(OR(F19&gt;F18+2/100,F19&lt;F18),"DIFERENCIA % NO PERMITIDA, VER OBSERVACIONES",IF(E19=C19,"se aplica la renta mínima garantizada",""))</f>
        <v/>
      </c>
      <c r="K19" s="105" t="str">
        <f t="shared" ref="K19:K32" si="1">IF(F19&lt;&gt;"",IF(((D19*0.8)*L19)&gt;=C19,(D19*0.8)*L19,C19),IF(F19="",""))</f>
        <v/>
      </c>
      <c r="L19" s="106" t="str">
        <f t="shared" ref="L19:L32" si="2">IF(F19&lt;&gt;"",ROUND(F19,3),"")</f>
        <v/>
      </c>
      <c r="M19" s="109">
        <f t="shared" ref="M19:M32" si="3">+IF(M18&lt;&gt;"",M18*(1+$N$18),"")</f>
        <v>7272</v>
      </c>
      <c r="O19" s="109">
        <f t="shared" ref="O19:O27" si="4">+IF(O18&lt;&gt;"",O18*(1+$N$18),"")</f>
        <v>202000</v>
      </c>
      <c r="P19" s="110">
        <f>IF(O19&lt;&gt;"",ROUNDUP(O19,0),"")</f>
        <v>202000</v>
      </c>
    </row>
    <row r="20" spans="2:16" ht="35.15" customHeight="1" thickBot="1" x14ac:dyDescent="0.3">
      <c r="B20" s="111" t="s">
        <v>8</v>
      </c>
      <c r="C20" s="110">
        <f t="shared" ref="C20:C27" si="5">C19*1.01</f>
        <v>7344.72</v>
      </c>
      <c r="D20" s="112">
        <f t="shared" ref="D20:D27" si="6">P20</f>
        <v>204020</v>
      </c>
      <c r="E20" s="113" t="str">
        <f t="shared" si="0"/>
        <v/>
      </c>
      <c r="F20" s="114"/>
      <c r="G20" s="104" t="str">
        <f t="shared" ref="G20:G32" si="7">IF(OR(F20&gt;F19+2/100,F20&lt;F19),"DIFERENCIA % NO PERMITIDA, VER OBSERVACIONES",IF(E20=C20,"se aplica la renta mínima garantizada",""))</f>
        <v/>
      </c>
      <c r="K20" s="105" t="str">
        <f t="shared" si="1"/>
        <v/>
      </c>
      <c r="L20" s="106" t="str">
        <f t="shared" si="2"/>
        <v/>
      </c>
      <c r="M20" s="109">
        <f t="shared" si="3"/>
        <v>7344.72</v>
      </c>
      <c r="O20" s="109">
        <f t="shared" si="4"/>
        <v>204020</v>
      </c>
      <c r="P20" s="110">
        <f t="shared" ref="P20:P32" si="8">IF(O20&lt;&gt;"",ROUNDUP(O20,0),"")</f>
        <v>204020</v>
      </c>
    </row>
    <row r="21" spans="2:16" ht="35.15" customHeight="1" thickBot="1" x14ac:dyDescent="0.3">
      <c r="B21" s="111" t="s">
        <v>9</v>
      </c>
      <c r="C21" s="110">
        <f t="shared" si="5"/>
        <v>7418.1672000000008</v>
      </c>
      <c r="D21" s="112">
        <f t="shared" si="6"/>
        <v>206061</v>
      </c>
      <c r="E21" s="113" t="str">
        <f t="shared" si="0"/>
        <v/>
      </c>
      <c r="F21" s="114"/>
      <c r="G21" s="104" t="str">
        <f t="shared" si="7"/>
        <v/>
      </c>
      <c r="K21" s="105" t="str">
        <f t="shared" si="1"/>
        <v/>
      </c>
      <c r="L21" s="106" t="str">
        <f t="shared" si="2"/>
        <v/>
      </c>
      <c r="M21" s="109">
        <f t="shared" si="3"/>
        <v>7418.1672000000008</v>
      </c>
      <c r="O21" s="109">
        <f t="shared" si="4"/>
        <v>206060.2</v>
      </c>
      <c r="P21" s="110">
        <f t="shared" si="8"/>
        <v>206061</v>
      </c>
    </row>
    <row r="22" spans="2:16" ht="35.15" customHeight="1" thickBot="1" x14ac:dyDescent="0.3">
      <c r="B22" s="111" t="s">
        <v>10</v>
      </c>
      <c r="C22" s="110">
        <f t="shared" si="5"/>
        <v>7492.3488720000005</v>
      </c>
      <c r="D22" s="112">
        <f t="shared" si="6"/>
        <v>208121</v>
      </c>
      <c r="E22" s="113" t="str">
        <f t="shared" si="0"/>
        <v/>
      </c>
      <c r="F22" s="114"/>
      <c r="G22" s="104" t="str">
        <f t="shared" si="7"/>
        <v/>
      </c>
      <c r="K22" s="105" t="str">
        <f t="shared" si="1"/>
        <v/>
      </c>
      <c r="L22" s="106" t="str">
        <f t="shared" si="2"/>
        <v/>
      </c>
      <c r="M22" s="109">
        <f t="shared" si="3"/>
        <v>7492.3488720000005</v>
      </c>
      <c r="O22" s="109">
        <f t="shared" si="4"/>
        <v>208120.80200000003</v>
      </c>
      <c r="P22" s="110">
        <f t="shared" si="8"/>
        <v>208121</v>
      </c>
    </row>
    <row r="23" spans="2:16" ht="35.15" customHeight="1" thickBot="1" x14ac:dyDescent="0.3">
      <c r="B23" s="111" t="s">
        <v>11</v>
      </c>
      <c r="C23" s="110">
        <f t="shared" si="5"/>
        <v>7567.2723607200005</v>
      </c>
      <c r="D23" s="112">
        <f t="shared" si="6"/>
        <v>210203</v>
      </c>
      <c r="E23" s="113" t="str">
        <f t="shared" si="0"/>
        <v/>
      </c>
      <c r="F23" s="114"/>
      <c r="G23" s="104" t="str">
        <f t="shared" si="7"/>
        <v/>
      </c>
      <c r="K23" s="105" t="str">
        <f t="shared" si="1"/>
        <v/>
      </c>
      <c r="L23" s="106" t="str">
        <f t="shared" si="2"/>
        <v/>
      </c>
      <c r="M23" s="109">
        <f t="shared" si="3"/>
        <v>7567.2723607200005</v>
      </c>
      <c r="O23" s="109">
        <f t="shared" si="4"/>
        <v>210202.01002000002</v>
      </c>
      <c r="P23" s="110">
        <f t="shared" si="8"/>
        <v>210203</v>
      </c>
    </row>
    <row r="24" spans="2:16" ht="35.15" customHeight="1" thickBot="1" x14ac:dyDescent="0.3">
      <c r="B24" s="111" t="s">
        <v>12</v>
      </c>
      <c r="C24" s="110">
        <f t="shared" si="5"/>
        <v>7642.9450843272007</v>
      </c>
      <c r="D24" s="112">
        <f t="shared" si="6"/>
        <v>212305</v>
      </c>
      <c r="E24" s="113" t="str">
        <f t="shared" si="0"/>
        <v/>
      </c>
      <c r="F24" s="114"/>
      <c r="G24" s="104" t="str">
        <f t="shared" si="7"/>
        <v/>
      </c>
      <c r="K24" s="105" t="str">
        <f t="shared" si="1"/>
        <v/>
      </c>
      <c r="L24" s="106" t="str">
        <f t="shared" si="2"/>
        <v/>
      </c>
      <c r="M24" s="109">
        <f t="shared" si="3"/>
        <v>7642.9450843272007</v>
      </c>
      <c r="N24" s="109"/>
      <c r="O24" s="109">
        <f t="shared" si="4"/>
        <v>212304.03012020001</v>
      </c>
      <c r="P24" s="110">
        <f t="shared" si="8"/>
        <v>212305</v>
      </c>
    </row>
    <row r="25" spans="2:16" ht="35.15" customHeight="1" thickBot="1" x14ac:dyDescent="0.3">
      <c r="B25" s="111" t="s">
        <v>17</v>
      </c>
      <c r="C25" s="110">
        <f t="shared" si="5"/>
        <v>7719.3745351704729</v>
      </c>
      <c r="D25" s="112">
        <f t="shared" si="6"/>
        <v>214428</v>
      </c>
      <c r="E25" s="113" t="str">
        <f t="shared" si="0"/>
        <v/>
      </c>
      <c r="F25" s="114"/>
      <c r="G25" s="104" t="str">
        <f t="shared" si="7"/>
        <v/>
      </c>
      <c r="K25" s="105" t="str">
        <f t="shared" si="1"/>
        <v/>
      </c>
      <c r="L25" s="106" t="str">
        <f t="shared" si="2"/>
        <v/>
      </c>
      <c r="M25" s="109">
        <f t="shared" si="3"/>
        <v>7719.3745351704729</v>
      </c>
      <c r="O25" s="109">
        <f t="shared" si="4"/>
        <v>214427.07042140202</v>
      </c>
      <c r="P25" s="110">
        <f t="shared" si="8"/>
        <v>214428</v>
      </c>
    </row>
    <row r="26" spans="2:16" ht="35.15" customHeight="1" thickBot="1" x14ac:dyDescent="0.3">
      <c r="B26" s="111" t="s">
        <v>18</v>
      </c>
      <c r="C26" s="110">
        <f t="shared" si="5"/>
        <v>7796.5682805221777</v>
      </c>
      <c r="D26" s="112">
        <f t="shared" si="6"/>
        <v>216572</v>
      </c>
      <c r="E26" s="113" t="str">
        <f t="shared" si="0"/>
        <v/>
      </c>
      <c r="F26" s="114"/>
      <c r="G26" s="104" t="str">
        <f t="shared" si="7"/>
        <v/>
      </c>
      <c r="K26" s="105" t="str">
        <f t="shared" si="1"/>
        <v/>
      </c>
      <c r="L26" s="106" t="str">
        <f t="shared" si="2"/>
        <v/>
      </c>
      <c r="M26" s="109">
        <f t="shared" si="3"/>
        <v>7796.5682805221777</v>
      </c>
      <c r="O26" s="109">
        <f t="shared" si="4"/>
        <v>216571.34112561605</v>
      </c>
      <c r="P26" s="110">
        <f t="shared" si="8"/>
        <v>216572</v>
      </c>
    </row>
    <row r="27" spans="2:16" ht="35.15" customHeight="1" thickBot="1" x14ac:dyDescent="0.3">
      <c r="B27" s="111" t="s">
        <v>19</v>
      </c>
      <c r="C27" s="110">
        <f t="shared" si="5"/>
        <v>7874.5339633273998</v>
      </c>
      <c r="D27" s="112">
        <f t="shared" si="6"/>
        <v>218738</v>
      </c>
      <c r="E27" s="113" t="str">
        <f t="shared" si="0"/>
        <v/>
      </c>
      <c r="F27" s="114"/>
      <c r="G27" s="104" t="str">
        <f t="shared" si="7"/>
        <v/>
      </c>
      <c r="K27" s="105" t="str">
        <f t="shared" si="1"/>
        <v/>
      </c>
      <c r="L27" s="106" t="str">
        <f t="shared" si="2"/>
        <v/>
      </c>
      <c r="M27" s="109">
        <f t="shared" si="3"/>
        <v>7874.5339633273998</v>
      </c>
      <c r="O27" s="109">
        <f t="shared" si="4"/>
        <v>218737.05453687222</v>
      </c>
      <c r="P27" s="110">
        <f t="shared" si="8"/>
        <v>218738</v>
      </c>
    </row>
    <row r="28" spans="2:16" ht="35.15" hidden="1" customHeight="1" thickBot="1" x14ac:dyDescent="0.3">
      <c r="B28" s="115" t="s">
        <v>24</v>
      </c>
      <c r="C28" s="116">
        <f t="shared" ref="C28:C32" si="9">IF(M28&lt;&gt;"",ROUNDUP(M28,0),"")</f>
        <v>7954</v>
      </c>
      <c r="D28" s="117"/>
      <c r="E28" s="105" t="str">
        <f t="shared" si="0"/>
        <v/>
      </c>
      <c r="F28" s="118"/>
      <c r="G28" s="104" t="str">
        <f t="shared" si="7"/>
        <v/>
      </c>
      <c r="K28" s="105" t="str">
        <f t="shared" si="1"/>
        <v/>
      </c>
      <c r="L28" s="106" t="str">
        <f t="shared" si="2"/>
        <v/>
      </c>
      <c r="M28" s="109">
        <f t="shared" si="3"/>
        <v>7953.2793029606737</v>
      </c>
      <c r="P28" s="110" t="str">
        <f t="shared" si="8"/>
        <v/>
      </c>
    </row>
    <row r="29" spans="2:16" ht="35.15" hidden="1" customHeight="1" thickBot="1" x14ac:dyDescent="0.3">
      <c r="B29" s="115" t="s">
        <v>25</v>
      </c>
      <c r="C29" s="116">
        <f t="shared" si="9"/>
        <v>8033</v>
      </c>
      <c r="D29" s="117"/>
      <c r="E29" s="105" t="str">
        <f t="shared" si="0"/>
        <v/>
      </c>
      <c r="F29" s="118"/>
      <c r="G29" s="104" t="str">
        <f t="shared" si="7"/>
        <v/>
      </c>
      <c r="K29" s="105" t="str">
        <f t="shared" si="1"/>
        <v/>
      </c>
      <c r="L29" s="106" t="str">
        <f t="shared" si="2"/>
        <v/>
      </c>
      <c r="M29" s="109">
        <f t="shared" si="3"/>
        <v>8032.8120959902808</v>
      </c>
      <c r="P29" s="110" t="str">
        <f t="shared" si="8"/>
        <v/>
      </c>
    </row>
    <row r="30" spans="2:16" ht="35.15" hidden="1" customHeight="1" thickBot="1" x14ac:dyDescent="0.3">
      <c r="B30" s="115" t="s">
        <v>26</v>
      </c>
      <c r="C30" s="116">
        <f t="shared" si="9"/>
        <v>8114</v>
      </c>
      <c r="D30" s="117"/>
      <c r="E30" s="105" t="str">
        <f t="shared" si="0"/>
        <v/>
      </c>
      <c r="F30" s="118"/>
      <c r="G30" s="104" t="str">
        <f t="shared" si="7"/>
        <v/>
      </c>
      <c r="K30" s="105" t="str">
        <f t="shared" si="1"/>
        <v/>
      </c>
      <c r="L30" s="106" t="str">
        <f t="shared" si="2"/>
        <v/>
      </c>
      <c r="M30" s="109">
        <f t="shared" si="3"/>
        <v>8113.1402169501835</v>
      </c>
      <c r="P30" s="110" t="str">
        <f t="shared" si="8"/>
        <v/>
      </c>
    </row>
    <row r="31" spans="2:16" ht="35.15" hidden="1" customHeight="1" thickBot="1" x14ac:dyDescent="0.3">
      <c r="B31" s="115" t="s">
        <v>27</v>
      </c>
      <c r="C31" s="116">
        <f t="shared" si="9"/>
        <v>8195</v>
      </c>
      <c r="D31" s="117"/>
      <c r="E31" s="105" t="str">
        <f t="shared" si="0"/>
        <v/>
      </c>
      <c r="F31" s="118"/>
      <c r="G31" s="104" t="str">
        <f t="shared" si="7"/>
        <v/>
      </c>
      <c r="K31" s="105" t="str">
        <f t="shared" si="1"/>
        <v/>
      </c>
      <c r="L31" s="106" t="str">
        <f t="shared" si="2"/>
        <v/>
      </c>
      <c r="M31" s="109">
        <f t="shared" si="3"/>
        <v>8194.2716191196851</v>
      </c>
      <c r="P31" s="110" t="str">
        <f t="shared" si="8"/>
        <v/>
      </c>
    </row>
    <row r="32" spans="2:16" ht="35.15" hidden="1" customHeight="1" thickBot="1" x14ac:dyDescent="0.3">
      <c r="B32" s="115" t="s">
        <v>28</v>
      </c>
      <c r="C32" s="116">
        <f t="shared" si="9"/>
        <v>8277</v>
      </c>
      <c r="D32" s="117"/>
      <c r="E32" s="105" t="str">
        <f t="shared" si="0"/>
        <v/>
      </c>
      <c r="F32" s="118"/>
      <c r="G32" s="104" t="str">
        <f t="shared" si="7"/>
        <v/>
      </c>
      <c r="K32" s="105" t="str">
        <f t="shared" si="1"/>
        <v/>
      </c>
      <c r="L32" s="106" t="str">
        <f t="shared" si="2"/>
        <v/>
      </c>
      <c r="M32" s="109">
        <f t="shared" si="3"/>
        <v>8276.2143353108822</v>
      </c>
      <c r="P32" s="110" t="str">
        <f t="shared" si="8"/>
        <v/>
      </c>
    </row>
    <row r="33" spans="2:16" ht="101.25" customHeight="1" thickTop="1" thickBot="1" x14ac:dyDescent="0.3">
      <c r="B33" s="119" t="s">
        <v>13</v>
      </c>
      <c r="C33" s="120">
        <f>SUM(C18:C27)</f>
        <v>75327.93029606725</v>
      </c>
      <c r="D33" s="121">
        <f>IF(D18&lt;&gt;"",SUM(D18:D27),"")</f>
        <v>2092448</v>
      </c>
      <c r="E33" s="122">
        <f>SUM(E18:E32)</f>
        <v>0</v>
      </c>
      <c r="F33" s="123"/>
      <c r="G33" s="124"/>
      <c r="K33" s="125"/>
      <c r="L33" s="126">
        <f>ROUND(F33,3)</f>
        <v>0</v>
      </c>
      <c r="M33" s="109">
        <f>SUM(M18:M32)</f>
        <v>115897.64786639894</v>
      </c>
      <c r="O33" s="109">
        <f>SUM(O18:O32)</f>
        <v>2092442.5082240906</v>
      </c>
      <c r="P33" s="110">
        <f>SUM(P18:P32)</f>
        <v>2092448</v>
      </c>
    </row>
    <row r="34" spans="2:16" ht="44.25" hidden="1" customHeight="1" thickTop="1" thickBot="1" x14ac:dyDescent="0.3">
      <c r="B34" s="127"/>
      <c r="C34" s="190" t="s">
        <v>14</v>
      </c>
      <c r="D34" s="190"/>
      <c r="E34" s="128" t="e">
        <f>+IF(D18&lt;&gt;"",NPV($B$16,E19:E27)+E18,"")</f>
        <v>#VALUE!</v>
      </c>
      <c r="F34" s="129"/>
      <c r="G34" s="127"/>
      <c r="K34" s="130"/>
      <c r="L34" s="126">
        <f>ROUND(F34,3)</f>
        <v>0</v>
      </c>
    </row>
    <row r="35" spans="2:16" ht="44.25" hidden="1" customHeight="1" thickTop="1" thickBot="1" x14ac:dyDescent="0.3">
      <c r="B35" s="127"/>
      <c r="C35" s="191" t="s">
        <v>14</v>
      </c>
      <c r="D35" s="191"/>
      <c r="E35" s="131" t="str">
        <f>IF(E18&lt;&gt;"",NPV($A$16,E19,E20,E21,E22,E23,E24,E25,E26,E27,E28,E29,E30,E31,E32)+E18,"")</f>
        <v/>
      </c>
      <c r="F35" s="132"/>
      <c r="G35" s="127"/>
      <c r="K35" s="130"/>
      <c r="L35" s="126"/>
    </row>
    <row r="36" spans="2:16" ht="44.25" hidden="1" customHeight="1" thickTop="1" x14ac:dyDescent="0.25">
      <c r="B36" s="127" t="s">
        <v>37</v>
      </c>
      <c r="C36" s="133">
        <f>AVERAGE(C18:C25)</f>
        <v>7457.103506527209</v>
      </c>
      <c r="D36" s="134"/>
      <c r="E36" s="135"/>
      <c r="F36" s="132"/>
      <c r="G36" s="127"/>
      <c r="K36" s="130"/>
      <c r="L36" s="126"/>
    </row>
    <row r="37" spans="2:16" ht="33" hidden="1" customHeight="1" x14ac:dyDescent="0.25">
      <c r="B37" s="77" t="s">
        <v>38</v>
      </c>
      <c r="C37" s="77">
        <f>+C18/6</f>
        <v>1200</v>
      </c>
      <c r="D37" s="136"/>
      <c r="E37" s="77"/>
      <c r="F37" s="77"/>
      <c r="G37" s="77"/>
      <c r="K37" s="130"/>
      <c r="L37" s="126">
        <f>ROUND(F37,3)</f>
        <v>0</v>
      </c>
    </row>
    <row r="38" spans="2:16" ht="33" customHeight="1" thickTop="1" thickBot="1" x14ac:dyDescent="0.3">
      <c r="B38" s="77"/>
      <c r="C38" s="77"/>
      <c r="D38" s="136"/>
      <c r="E38" s="77"/>
      <c r="F38" s="77"/>
      <c r="G38" s="77"/>
      <c r="K38" s="130"/>
      <c r="L38" s="126"/>
    </row>
    <row r="39" spans="2:16" s="76" customFormat="1" ht="20" thickTop="1" x14ac:dyDescent="0.25">
      <c r="B39" s="137" t="s">
        <v>15</v>
      </c>
      <c r="C39" s="138"/>
      <c r="D39" s="138"/>
      <c r="E39" s="138"/>
      <c r="F39" s="138"/>
      <c r="G39" s="139"/>
    </row>
    <row r="40" spans="2:16" s="76" customFormat="1" ht="37.5" customHeight="1" x14ac:dyDescent="0.25">
      <c r="B40" s="192" t="s">
        <v>60</v>
      </c>
      <c r="C40" s="193"/>
      <c r="D40" s="193"/>
      <c r="E40" s="193"/>
      <c r="F40" s="193"/>
      <c r="G40" s="194"/>
    </row>
    <row r="41" spans="2:16" s="76" customFormat="1" ht="134.15" customHeight="1" x14ac:dyDescent="0.25">
      <c r="B41" s="192" t="s">
        <v>59</v>
      </c>
      <c r="C41" s="193"/>
      <c r="D41" s="193"/>
      <c r="E41" s="193"/>
      <c r="F41" s="193"/>
      <c r="G41" s="194"/>
    </row>
    <row r="42" spans="2:16" s="76" customFormat="1" ht="61" customHeight="1" thickBot="1" x14ac:dyDescent="0.3">
      <c r="B42" s="180" t="s">
        <v>42</v>
      </c>
      <c r="C42" s="181"/>
      <c r="D42" s="181"/>
      <c r="E42" s="181"/>
      <c r="F42" s="181"/>
      <c r="G42" s="182"/>
    </row>
    <row r="43" spans="2:16" s="76" customFormat="1" ht="33" customHeight="1" thickTop="1" x14ac:dyDescent="0.25"/>
    <row r="44" spans="2:16" ht="27.75" customHeight="1" x14ac:dyDescent="0.25">
      <c r="B44" s="140"/>
      <c r="C44" s="140"/>
      <c r="D44" s="140"/>
      <c r="E44" s="140"/>
      <c r="F44" s="140"/>
      <c r="G44" s="140"/>
    </row>
    <row r="45" spans="2:16" ht="26.25" customHeight="1" x14ac:dyDescent="0.25">
      <c r="B45" s="183" t="s">
        <v>16</v>
      </c>
      <c r="C45" s="183"/>
      <c r="D45" s="183"/>
      <c r="E45" s="183"/>
      <c r="F45" s="183"/>
      <c r="G45" s="183"/>
    </row>
    <row r="46" spans="2:16" ht="15" customHeight="1" x14ac:dyDescent="0.35">
      <c r="B46" s="141"/>
      <c r="C46" s="141"/>
      <c r="D46" s="141"/>
      <c r="E46" s="85"/>
      <c r="F46" s="85"/>
      <c r="G46" s="85"/>
    </row>
    <row r="47" spans="2:16" ht="7.5" hidden="1" customHeight="1" x14ac:dyDescent="0.25"/>
    <row r="48" spans="2:16" ht="15" hidden="1" customHeight="1" x14ac:dyDescent="0.3">
      <c r="B48" s="184"/>
      <c r="C48" s="184"/>
      <c r="D48" s="184"/>
      <c r="E48" s="184"/>
      <c r="F48" s="142"/>
      <c r="G48" s="142"/>
    </row>
    <row r="49" spans="1:4" ht="17.149999999999999" hidden="1" customHeight="1" x14ac:dyDescent="0.25">
      <c r="B49" s="75" t="s">
        <v>33</v>
      </c>
      <c r="C49" s="75" t="s">
        <v>31</v>
      </c>
      <c r="D49" s="75" t="s">
        <v>32</v>
      </c>
    </row>
    <row r="50" spans="1:4" ht="13.5" hidden="1" x14ac:dyDescent="0.25">
      <c r="B50" s="143" t="e">
        <f>#REF!</f>
        <v>#REF!</v>
      </c>
      <c r="C50" s="109" t="e">
        <f>+B50*0.21</f>
        <v>#REF!</v>
      </c>
      <c r="D50" s="109" t="e">
        <f>SUM(B50:C50)</f>
        <v>#REF!</v>
      </c>
    </row>
    <row r="51" spans="1:4" hidden="1" x14ac:dyDescent="0.25"/>
    <row r="52" spans="1:4" hidden="1" x14ac:dyDescent="0.25">
      <c r="A52" s="75" t="s">
        <v>36</v>
      </c>
      <c r="B52" s="75" t="e">
        <f>+B50/7</f>
        <v>#REF!</v>
      </c>
    </row>
    <row r="53" spans="1:4" hidden="1" x14ac:dyDescent="0.25">
      <c r="A53" s="75" t="s">
        <v>35</v>
      </c>
    </row>
    <row r="54" spans="1:4" hidden="1" x14ac:dyDescent="0.25"/>
    <row r="55" spans="1:4" hidden="1" x14ac:dyDescent="0.25">
      <c r="A55" s="75" t="s">
        <v>34</v>
      </c>
      <c r="B55" s="75">
        <f>170000/12*2</f>
        <v>28333.333333333332</v>
      </c>
    </row>
    <row r="56" spans="1:4" hidden="1" x14ac:dyDescent="0.25"/>
    <row r="57" spans="1:4" hidden="1" x14ac:dyDescent="0.25"/>
  </sheetData>
  <sheetProtection algorithmName="SHA-512" hashValue="npPCudS4TaWHFh9IB4E7Jqg7h3Redqr48u423cX0Ovd/4WvKnsvLgfhm9FvIffjm3RGYajOovl/e8DJIAbi0Qw==" saltValue="wVfdIQdA/ITCMNYzTHKKmQ==" spinCount="100000" sheet="1" objects="1" scenarios="1"/>
  <dataConsolidate/>
  <mergeCells count="15">
    <mergeCell ref="C5:F5"/>
    <mergeCell ref="C6:F6"/>
    <mergeCell ref="B8:G8"/>
    <mergeCell ref="B10:C10"/>
    <mergeCell ref="B11:C13"/>
    <mergeCell ref="G11:G13"/>
    <mergeCell ref="B42:G42"/>
    <mergeCell ref="B45:G45"/>
    <mergeCell ref="B48:E48"/>
    <mergeCell ref="B15:C15"/>
    <mergeCell ref="D15:G15"/>
    <mergeCell ref="C34:D34"/>
    <mergeCell ref="C35:D35"/>
    <mergeCell ref="B40:G40"/>
    <mergeCell ref="B41:G41"/>
  </mergeCells>
  <conditionalFormatting sqref="G19:G32 F20:F32">
    <cfRule type="expression" dxfId="15" priority="7" stopIfTrue="1">
      <formula>E19=0</formula>
    </cfRule>
  </conditionalFormatting>
  <conditionalFormatting sqref="F19:F32">
    <cfRule type="cellIs" dxfId="14" priority="8" stopIfTrue="1" operator="notBetween">
      <formula>F18</formula>
      <formula>F18+2/100</formula>
    </cfRule>
  </conditionalFormatting>
  <conditionalFormatting sqref="F19">
    <cfRule type="expression" dxfId="13" priority="6" stopIfTrue="1">
      <formula>E19=0</formula>
    </cfRule>
  </conditionalFormatting>
  <conditionalFormatting sqref="G18">
    <cfRule type="expression" dxfId="12" priority="5" stopIfTrue="1">
      <formula>F18=0</formula>
    </cfRule>
  </conditionalFormatting>
  <conditionalFormatting sqref="G18">
    <cfRule type="expression" dxfId="11" priority="4" stopIfTrue="1">
      <formula>F18=0</formula>
    </cfRule>
  </conditionalFormatting>
  <conditionalFormatting sqref="G18">
    <cfRule type="expression" dxfId="10" priority="3" stopIfTrue="1">
      <formula>F18=0</formula>
    </cfRule>
  </conditionalFormatting>
  <conditionalFormatting sqref="G18">
    <cfRule type="expression" dxfId="9" priority="2" stopIfTrue="1">
      <formula>F18=0</formula>
    </cfRule>
  </conditionalFormatting>
  <conditionalFormatting sqref="G18">
    <cfRule type="expression" dxfId="8" priority="1" stopIfTrue="1">
      <formula>F18=0</formula>
    </cfRule>
  </conditionalFormatting>
  <dataValidations count="2">
    <dataValidation type="custom" allowBlank="1" showInputMessage="1" showErrorMessage="1" error="Porcentaje de variable no permitido. Ver Observaciones" sqref="F18" xr:uid="{E287DF38-CB3F-403F-BD59-CEFD3916B53E}">
      <formula1>+IF(OR(F18&lt;2%,F18&gt;10%),"ERROR",F18)</formula1>
    </dataValidation>
    <dataValidation type="custom" allowBlank="1" showInputMessage="1" showErrorMessage="1" sqref="F19:F32" xr:uid="{CE0BBCFC-BC2D-426B-B864-54B9120CB801}">
      <formula1>+IF(AND(F19&gt;=F18,F19&lt;=F18+2%),F19,"ERROR")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53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B1CEB-EAA5-41D9-8ABE-D2B0610D0DE5}">
  <sheetPr>
    <pageSetUpPr fitToPage="1"/>
  </sheetPr>
  <dimension ref="A1:R59"/>
  <sheetViews>
    <sheetView zoomScale="70" zoomScaleNormal="70" workbookViewId="0">
      <selection activeCell="C7" sqref="C7"/>
    </sheetView>
  </sheetViews>
  <sheetFormatPr baseColWidth="10" defaultRowHeight="12.5" x14ac:dyDescent="0.25"/>
  <cols>
    <col min="1" max="1" width="10.90625" style="75"/>
    <col min="2" max="2" width="20.453125" style="75" customWidth="1"/>
    <col min="3" max="3" width="24.1796875" style="75" customWidth="1"/>
    <col min="4" max="4" width="33.1796875" style="75" customWidth="1"/>
    <col min="5" max="5" width="33" style="75" customWidth="1"/>
    <col min="6" max="6" width="37.08984375" style="75" customWidth="1"/>
    <col min="7" max="7" width="26.453125" style="75" customWidth="1"/>
    <col min="8" max="8" width="2.81640625" style="75" customWidth="1"/>
    <col min="9" max="9" width="10.90625" style="75" hidden="1" customWidth="1"/>
    <col min="10" max="10" width="11.54296875" style="75" hidden="1" customWidth="1"/>
    <col min="11" max="11" width="18.1796875" style="75" hidden="1" customWidth="1"/>
    <col min="12" max="12" width="12.54296875" style="75" hidden="1" customWidth="1"/>
    <col min="13" max="15" width="11.54296875" style="75" hidden="1" customWidth="1"/>
    <col min="16" max="16" width="23.6328125" style="75" hidden="1" customWidth="1"/>
    <col min="17" max="18" width="11.54296875" style="75" hidden="1" customWidth="1"/>
    <col min="19" max="22" width="0" style="75" hidden="1" customWidth="1"/>
    <col min="23" max="16384" width="10.90625" style="75"/>
  </cols>
  <sheetData>
    <row r="1" spans="1:16" ht="24" customHeight="1" x14ac:dyDescent="0.25">
      <c r="B1" s="76"/>
      <c r="C1" s="76"/>
      <c r="D1" s="76"/>
      <c r="E1" s="76"/>
      <c r="F1" s="76"/>
      <c r="G1" s="76"/>
    </row>
    <row r="2" spans="1:16" ht="24" customHeight="1" x14ac:dyDescent="0.25">
      <c r="B2" s="76"/>
      <c r="C2" s="76"/>
      <c r="D2" s="76"/>
      <c r="E2" s="76"/>
      <c r="F2" s="76"/>
      <c r="G2" s="76"/>
    </row>
    <row r="3" spans="1:16" ht="24" customHeight="1" x14ac:dyDescent="0.25">
      <c r="B3" s="76"/>
      <c r="C3" s="76"/>
      <c r="D3" s="76"/>
      <c r="E3" s="76"/>
      <c r="F3" s="76"/>
      <c r="G3" s="76"/>
    </row>
    <row r="4" spans="1:16" ht="24" customHeight="1" thickBot="1" x14ac:dyDescent="0.3">
      <c r="B4" s="76"/>
      <c r="C4" s="76"/>
      <c r="D4" s="76"/>
      <c r="E4" s="76"/>
      <c r="F4" s="76"/>
      <c r="G4" s="76"/>
    </row>
    <row r="5" spans="1:16" ht="66" customHeight="1" thickTop="1" x14ac:dyDescent="0.25">
      <c r="B5" s="76"/>
      <c r="C5" s="195" t="s">
        <v>0</v>
      </c>
      <c r="D5" s="196"/>
      <c r="E5" s="196"/>
      <c r="F5" s="197"/>
    </row>
    <row r="6" spans="1:16" ht="44.25" customHeight="1" thickBot="1" x14ac:dyDescent="0.3">
      <c r="B6" s="77"/>
      <c r="C6" s="198" t="s">
        <v>66</v>
      </c>
      <c r="D6" s="199"/>
      <c r="E6" s="199"/>
      <c r="F6" s="200"/>
    </row>
    <row r="7" spans="1:16" ht="19.5" customHeight="1" thickTop="1" thickBot="1" x14ac:dyDescent="0.3">
      <c r="B7" s="78"/>
      <c r="C7" s="78"/>
      <c r="D7" s="78"/>
      <c r="E7" s="78"/>
      <c r="F7" s="78"/>
      <c r="G7" s="78"/>
    </row>
    <row r="8" spans="1:16" ht="60.75" customHeight="1" thickTop="1" thickBot="1" x14ac:dyDescent="0.3">
      <c r="B8" s="201" t="s">
        <v>44</v>
      </c>
      <c r="C8" s="202"/>
      <c r="D8" s="203"/>
      <c r="E8" s="203"/>
      <c r="F8" s="203"/>
      <c r="G8" s="204"/>
    </row>
    <row r="9" spans="1:16" ht="20.149999999999999" customHeight="1" thickTop="1" thickBot="1" x14ac:dyDescent="0.3">
      <c r="B9" s="79"/>
      <c r="C9" s="79"/>
      <c r="D9" s="79"/>
      <c r="E9" s="79"/>
      <c r="F9" s="79"/>
      <c r="G9" s="79"/>
    </row>
    <row r="10" spans="1:16" ht="84" customHeight="1" thickTop="1" x14ac:dyDescent="0.25">
      <c r="B10" s="205" t="s">
        <v>1</v>
      </c>
      <c r="C10" s="206"/>
      <c r="D10" s="80" t="s">
        <v>29</v>
      </c>
      <c r="E10" s="80" t="s">
        <v>30</v>
      </c>
      <c r="F10" s="80" t="s">
        <v>2</v>
      </c>
      <c r="G10" s="81" t="s">
        <v>3</v>
      </c>
    </row>
    <row r="11" spans="1:16" ht="20.149999999999999" customHeight="1" x14ac:dyDescent="0.35">
      <c r="B11" s="207" t="s">
        <v>55</v>
      </c>
      <c r="C11" s="208"/>
      <c r="D11" s="84" t="s">
        <v>54</v>
      </c>
      <c r="E11" s="84" t="s">
        <v>53</v>
      </c>
      <c r="F11" s="84" t="s">
        <v>48</v>
      </c>
      <c r="G11" s="213">
        <f>+C33</f>
        <v>31386.637623361352</v>
      </c>
      <c r="H11" s="85"/>
      <c r="I11" s="85"/>
      <c r="J11" s="85"/>
      <c r="K11" s="85"/>
      <c r="L11" s="85"/>
      <c r="M11" s="85"/>
      <c r="N11" s="85"/>
      <c r="O11" s="85"/>
      <c r="P11" s="85"/>
    </row>
    <row r="12" spans="1:16" ht="20.149999999999999" customHeight="1" x14ac:dyDescent="0.35">
      <c r="B12" s="209"/>
      <c r="C12" s="210"/>
      <c r="D12" s="84" t="s">
        <v>52</v>
      </c>
      <c r="E12" s="84" t="s">
        <v>51</v>
      </c>
      <c r="F12" s="84" t="s">
        <v>50</v>
      </c>
      <c r="G12" s="214"/>
      <c r="H12" s="85"/>
      <c r="I12" s="85"/>
      <c r="J12" s="85"/>
      <c r="K12" s="85"/>
      <c r="L12" s="85"/>
      <c r="M12" s="85"/>
      <c r="N12" s="85"/>
      <c r="O12" s="85"/>
      <c r="P12" s="85"/>
    </row>
    <row r="13" spans="1:16" ht="20.149999999999999" customHeight="1" thickBot="1" x14ac:dyDescent="0.4">
      <c r="B13" s="211"/>
      <c r="C13" s="212"/>
      <c r="D13" s="86"/>
      <c r="E13" s="87"/>
      <c r="F13" s="88"/>
      <c r="G13" s="215"/>
      <c r="H13" s="85"/>
      <c r="I13" s="85"/>
      <c r="J13" s="85"/>
      <c r="K13" s="85"/>
      <c r="L13" s="85"/>
      <c r="M13" s="85"/>
      <c r="N13" s="85"/>
      <c r="O13" s="85"/>
      <c r="P13" s="85"/>
    </row>
    <row r="14" spans="1:16" ht="20.149999999999999" customHeight="1" thickTop="1" thickBot="1" x14ac:dyDescent="0.3">
      <c r="B14" s="89"/>
      <c r="C14" s="89"/>
      <c r="D14" s="89"/>
      <c r="E14" s="77"/>
      <c r="F14" s="77"/>
      <c r="G14" s="77"/>
    </row>
    <row r="15" spans="1:16" ht="85.5" customHeight="1" thickTop="1" thickBot="1" x14ac:dyDescent="0.3">
      <c r="B15" s="185" t="s">
        <v>4</v>
      </c>
      <c r="C15" s="186"/>
      <c r="D15" s="187"/>
      <c r="E15" s="188"/>
      <c r="F15" s="188"/>
      <c r="G15" s="189"/>
    </row>
    <row r="16" spans="1:16" ht="13.5" thickTop="1" thickBot="1" x14ac:dyDescent="0.3">
      <c r="A16" s="90">
        <v>0.02</v>
      </c>
      <c r="B16" s="91">
        <v>0.03</v>
      </c>
      <c r="C16" s="92"/>
      <c r="D16" s="77"/>
      <c r="E16" s="77"/>
      <c r="F16" s="77"/>
      <c r="G16" s="76"/>
    </row>
    <row r="17" spans="2:16" ht="109.4" customHeight="1" thickTop="1" thickBot="1" x14ac:dyDescent="0.3">
      <c r="B17" s="93"/>
      <c r="C17" s="94" t="s">
        <v>5</v>
      </c>
      <c r="D17" s="94" t="s">
        <v>40</v>
      </c>
      <c r="E17" s="94" t="s">
        <v>41</v>
      </c>
      <c r="F17" s="95" t="s">
        <v>43</v>
      </c>
      <c r="G17" s="96"/>
      <c r="K17" s="97" t="s">
        <v>23</v>
      </c>
      <c r="L17" s="97" t="s">
        <v>22</v>
      </c>
      <c r="M17" s="97" t="s">
        <v>21</v>
      </c>
      <c r="N17" s="97" t="s">
        <v>20</v>
      </c>
      <c r="O17" s="98" t="s">
        <v>39</v>
      </c>
    </row>
    <row r="18" spans="2:16" ht="35.15" customHeight="1" thickBot="1" x14ac:dyDescent="0.3">
      <c r="B18" s="99" t="s">
        <v>6</v>
      </c>
      <c r="C18" s="100">
        <f>IF(M18&lt;&gt;"",ROUNDUP(M18,0),"")</f>
        <v>3000</v>
      </c>
      <c r="D18" s="101">
        <f>O18</f>
        <v>100000</v>
      </c>
      <c r="E18" s="102" t="str">
        <f>IF(F18&lt;&gt;"",ROUNDUP(K18,2),IF(F18="",""))</f>
        <v/>
      </c>
      <c r="F18" s="103"/>
      <c r="G18" s="104" t="str">
        <f>IF(F18&lt;3.5%," % INFERIOR MÍNIMO EXIGIDO, VER OBSERVACIONES",IF(E18=C18,"se aplica la renta mínima garantizada",""))</f>
        <v xml:space="preserve"> % INFERIOR MÍNIMO EXIGIDO, VER OBSERVACIONES</v>
      </c>
      <c r="K18" s="105" t="str">
        <f>IF(F18&lt;&gt;"",IF(((D18*0.8)*L18)&gt;=C18,(D18*0.8)*L18,C18),IF(F18="",""))</f>
        <v/>
      </c>
      <c r="L18" s="106">
        <f>IF(F18&lt;3.5%&gt;"",ROUND(F18,3),"")</f>
        <v>0</v>
      </c>
      <c r="M18" s="107">
        <v>3000</v>
      </c>
      <c r="N18" s="108">
        <v>0.01</v>
      </c>
      <c r="O18" s="109">
        <v>100000</v>
      </c>
      <c r="P18" s="110">
        <f>+O18</f>
        <v>100000</v>
      </c>
    </row>
    <row r="19" spans="2:16" ht="35.15" customHeight="1" thickBot="1" x14ac:dyDescent="0.3">
      <c r="B19" s="111" t="s">
        <v>7</v>
      </c>
      <c r="C19" s="110">
        <f>C18*1.01</f>
        <v>3030</v>
      </c>
      <c r="D19" s="112">
        <f>P19</f>
        <v>101000</v>
      </c>
      <c r="E19" s="113" t="str">
        <f t="shared" ref="E19:E32" si="0">IF(F19&lt;&gt;"",ROUNDUP(K19,2),IF(F19="",""))</f>
        <v/>
      </c>
      <c r="F19" s="114"/>
      <c r="G19" s="104" t="str">
        <f>IF(OR(F19&gt;F18+2/100,F19&lt;F18),"DIFERENCIA % NO PERMITIDA, VER OBSERVACIONES",IF(E19=C19,"se aplica la renta mínima garantizada",""))</f>
        <v/>
      </c>
      <c r="K19" s="105" t="str">
        <f t="shared" ref="K19:K32" si="1">IF(F19&lt;&gt;"",IF(((D19*0.8)*L19)&gt;=C19,(D19*0.8)*L19,C19),IF(F19="",""))</f>
        <v/>
      </c>
      <c r="L19" s="106" t="str">
        <f t="shared" ref="L19:L32" si="2">IF(F19&lt;&gt;"",ROUND(F19,3),"")</f>
        <v/>
      </c>
      <c r="M19" s="109">
        <f t="shared" ref="M19:M32" si="3">+IF(M18&lt;&gt;"",M18*(1+$N$18),"")</f>
        <v>3030</v>
      </c>
      <c r="O19" s="109">
        <f t="shared" ref="O19:O27" si="4">+IF(O18&lt;&gt;"",O18*(1+$N$18),"")</f>
        <v>101000</v>
      </c>
      <c r="P19" s="110">
        <f>IF(O19&lt;&gt;"",ROUNDUP(O19,0),"")</f>
        <v>101000</v>
      </c>
    </row>
    <row r="20" spans="2:16" ht="35.15" customHeight="1" thickBot="1" x14ac:dyDescent="0.3">
      <c r="B20" s="111" t="s">
        <v>8</v>
      </c>
      <c r="C20" s="110">
        <f t="shared" ref="C20:C27" si="5">C19*1.01</f>
        <v>3060.3</v>
      </c>
      <c r="D20" s="112">
        <f t="shared" ref="D20:D27" si="6">P20</f>
        <v>102010</v>
      </c>
      <c r="E20" s="113" t="str">
        <f t="shared" si="0"/>
        <v/>
      </c>
      <c r="F20" s="114"/>
      <c r="G20" s="104" t="str">
        <f t="shared" ref="G20:G32" si="7">IF(OR(F20&gt;F19+2/100,F20&lt;F19),"DIFERENCIA % NO PERMITIDA, VER OBSERVACIONES",IF(E20=C20,"se aplica la renta mínima garantizada",""))</f>
        <v/>
      </c>
      <c r="K20" s="105" t="str">
        <f t="shared" si="1"/>
        <v/>
      </c>
      <c r="L20" s="106" t="str">
        <f t="shared" si="2"/>
        <v/>
      </c>
      <c r="M20" s="109">
        <f t="shared" si="3"/>
        <v>3060.3</v>
      </c>
      <c r="O20" s="109">
        <f t="shared" si="4"/>
        <v>102010</v>
      </c>
      <c r="P20" s="110">
        <f t="shared" ref="P20:P32" si="8">IF(O20&lt;&gt;"",ROUNDUP(O20,0),"")</f>
        <v>102010</v>
      </c>
    </row>
    <row r="21" spans="2:16" ht="35.15" customHeight="1" thickBot="1" x14ac:dyDescent="0.3">
      <c r="B21" s="111" t="s">
        <v>9</v>
      </c>
      <c r="C21" s="110">
        <f t="shared" si="5"/>
        <v>3090.9030000000002</v>
      </c>
      <c r="D21" s="112">
        <f t="shared" si="6"/>
        <v>103031</v>
      </c>
      <c r="E21" s="113" t="str">
        <f t="shared" si="0"/>
        <v/>
      </c>
      <c r="F21" s="114"/>
      <c r="G21" s="104" t="str">
        <f t="shared" si="7"/>
        <v/>
      </c>
      <c r="K21" s="105" t="str">
        <f t="shared" si="1"/>
        <v/>
      </c>
      <c r="L21" s="106" t="str">
        <f t="shared" si="2"/>
        <v/>
      </c>
      <c r="M21" s="109">
        <f t="shared" si="3"/>
        <v>3090.9030000000002</v>
      </c>
      <c r="O21" s="109">
        <f t="shared" si="4"/>
        <v>103030.1</v>
      </c>
      <c r="P21" s="110">
        <f t="shared" si="8"/>
        <v>103031</v>
      </c>
    </row>
    <row r="22" spans="2:16" ht="35.15" customHeight="1" thickBot="1" x14ac:dyDescent="0.3">
      <c r="B22" s="111" t="s">
        <v>10</v>
      </c>
      <c r="C22" s="110">
        <f t="shared" si="5"/>
        <v>3121.8120300000005</v>
      </c>
      <c r="D22" s="112">
        <f t="shared" si="6"/>
        <v>104061</v>
      </c>
      <c r="E22" s="113" t="str">
        <f t="shared" si="0"/>
        <v/>
      </c>
      <c r="F22" s="114"/>
      <c r="G22" s="104" t="str">
        <f t="shared" si="7"/>
        <v/>
      </c>
      <c r="K22" s="105" t="str">
        <f t="shared" si="1"/>
        <v/>
      </c>
      <c r="L22" s="106" t="str">
        <f t="shared" si="2"/>
        <v/>
      </c>
      <c r="M22" s="109">
        <f t="shared" si="3"/>
        <v>3121.8120300000005</v>
      </c>
      <c r="O22" s="109">
        <f t="shared" si="4"/>
        <v>104060.40100000001</v>
      </c>
      <c r="P22" s="110">
        <f t="shared" si="8"/>
        <v>104061</v>
      </c>
    </row>
    <row r="23" spans="2:16" ht="35.15" customHeight="1" thickBot="1" x14ac:dyDescent="0.3">
      <c r="B23" s="111" t="s">
        <v>11</v>
      </c>
      <c r="C23" s="110">
        <f t="shared" si="5"/>
        <v>3153.0301503000005</v>
      </c>
      <c r="D23" s="112">
        <f t="shared" si="6"/>
        <v>105102</v>
      </c>
      <c r="E23" s="113" t="str">
        <f t="shared" si="0"/>
        <v/>
      </c>
      <c r="F23" s="114"/>
      <c r="G23" s="104" t="str">
        <f t="shared" si="7"/>
        <v/>
      </c>
      <c r="K23" s="105" t="str">
        <f t="shared" si="1"/>
        <v/>
      </c>
      <c r="L23" s="106" t="str">
        <f t="shared" si="2"/>
        <v/>
      </c>
      <c r="M23" s="109">
        <f t="shared" si="3"/>
        <v>3153.0301503000005</v>
      </c>
      <c r="O23" s="109">
        <f t="shared" si="4"/>
        <v>105101.00501000001</v>
      </c>
      <c r="P23" s="110">
        <f t="shared" si="8"/>
        <v>105102</v>
      </c>
    </row>
    <row r="24" spans="2:16" ht="35.15" customHeight="1" thickBot="1" x14ac:dyDescent="0.3">
      <c r="B24" s="111" t="s">
        <v>12</v>
      </c>
      <c r="C24" s="110">
        <f t="shared" si="5"/>
        <v>3184.5604518030004</v>
      </c>
      <c r="D24" s="112">
        <f t="shared" si="6"/>
        <v>106153</v>
      </c>
      <c r="E24" s="113" t="str">
        <f t="shared" si="0"/>
        <v/>
      </c>
      <c r="F24" s="114"/>
      <c r="G24" s="104" t="str">
        <f t="shared" si="7"/>
        <v/>
      </c>
      <c r="K24" s="105" t="str">
        <f t="shared" si="1"/>
        <v/>
      </c>
      <c r="L24" s="106" t="str">
        <f t="shared" si="2"/>
        <v/>
      </c>
      <c r="M24" s="109">
        <f t="shared" si="3"/>
        <v>3184.5604518030004</v>
      </c>
      <c r="N24" s="109"/>
      <c r="O24" s="109">
        <f t="shared" si="4"/>
        <v>106152.01506010001</v>
      </c>
      <c r="P24" s="110">
        <f t="shared" si="8"/>
        <v>106153</v>
      </c>
    </row>
    <row r="25" spans="2:16" ht="35.15" customHeight="1" thickBot="1" x14ac:dyDescent="0.3">
      <c r="B25" s="111" t="s">
        <v>17</v>
      </c>
      <c r="C25" s="110">
        <f t="shared" si="5"/>
        <v>3216.4060563210305</v>
      </c>
      <c r="D25" s="112">
        <f t="shared" si="6"/>
        <v>107214</v>
      </c>
      <c r="E25" s="113" t="str">
        <f t="shared" si="0"/>
        <v/>
      </c>
      <c r="F25" s="114"/>
      <c r="G25" s="104" t="str">
        <f t="shared" si="7"/>
        <v/>
      </c>
      <c r="K25" s="105" t="str">
        <f t="shared" si="1"/>
        <v/>
      </c>
      <c r="L25" s="106" t="str">
        <f t="shared" si="2"/>
        <v/>
      </c>
      <c r="M25" s="109">
        <f t="shared" si="3"/>
        <v>3216.4060563210305</v>
      </c>
      <c r="O25" s="109">
        <f t="shared" si="4"/>
        <v>107213.53521070101</v>
      </c>
      <c r="P25" s="110">
        <f t="shared" si="8"/>
        <v>107214</v>
      </c>
    </row>
    <row r="26" spans="2:16" ht="35.15" customHeight="1" thickBot="1" x14ac:dyDescent="0.3">
      <c r="B26" s="111" t="s">
        <v>18</v>
      </c>
      <c r="C26" s="110">
        <f t="shared" si="5"/>
        <v>3248.5701168842406</v>
      </c>
      <c r="D26" s="112">
        <f t="shared" si="6"/>
        <v>108286</v>
      </c>
      <c r="E26" s="113" t="str">
        <f t="shared" si="0"/>
        <v/>
      </c>
      <c r="F26" s="114"/>
      <c r="G26" s="104" t="str">
        <f t="shared" si="7"/>
        <v/>
      </c>
      <c r="K26" s="105" t="str">
        <f t="shared" si="1"/>
        <v/>
      </c>
      <c r="L26" s="106" t="str">
        <f t="shared" si="2"/>
        <v/>
      </c>
      <c r="M26" s="109">
        <f t="shared" si="3"/>
        <v>3248.5701168842406</v>
      </c>
      <c r="O26" s="109">
        <f t="shared" si="4"/>
        <v>108285.67056280802</v>
      </c>
      <c r="P26" s="110">
        <f t="shared" si="8"/>
        <v>108286</v>
      </c>
    </row>
    <row r="27" spans="2:16" ht="35.15" customHeight="1" thickBot="1" x14ac:dyDescent="0.3">
      <c r="B27" s="111" t="s">
        <v>19</v>
      </c>
      <c r="C27" s="110">
        <f t="shared" si="5"/>
        <v>3281.0558180530829</v>
      </c>
      <c r="D27" s="112">
        <f t="shared" si="6"/>
        <v>109369</v>
      </c>
      <c r="E27" s="113" t="str">
        <f t="shared" si="0"/>
        <v/>
      </c>
      <c r="F27" s="114"/>
      <c r="G27" s="104" t="str">
        <f t="shared" si="7"/>
        <v/>
      </c>
      <c r="K27" s="105" t="str">
        <f t="shared" si="1"/>
        <v/>
      </c>
      <c r="L27" s="106" t="str">
        <f t="shared" si="2"/>
        <v/>
      </c>
      <c r="M27" s="109">
        <f t="shared" si="3"/>
        <v>3281.0558180530829</v>
      </c>
      <c r="O27" s="109">
        <f t="shared" si="4"/>
        <v>109368.52726843611</v>
      </c>
      <c r="P27" s="110">
        <f t="shared" si="8"/>
        <v>109369</v>
      </c>
    </row>
    <row r="28" spans="2:16" ht="35.15" hidden="1" customHeight="1" thickBot="1" x14ac:dyDescent="0.3">
      <c r="B28" s="115" t="s">
        <v>24</v>
      </c>
      <c r="C28" s="116">
        <f t="shared" ref="C28:C32" si="9">IF(M28&lt;&gt;"",ROUNDUP(M28,0),"")</f>
        <v>3314</v>
      </c>
      <c r="D28" s="117"/>
      <c r="E28" s="105" t="str">
        <f t="shared" si="0"/>
        <v/>
      </c>
      <c r="F28" s="118"/>
      <c r="G28" s="104" t="str">
        <f t="shared" si="7"/>
        <v/>
      </c>
      <c r="K28" s="105" t="str">
        <f t="shared" si="1"/>
        <v/>
      </c>
      <c r="L28" s="106" t="str">
        <f t="shared" si="2"/>
        <v/>
      </c>
      <c r="M28" s="109">
        <f t="shared" si="3"/>
        <v>3313.8663762336137</v>
      </c>
      <c r="P28" s="110" t="str">
        <f t="shared" si="8"/>
        <v/>
      </c>
    </row>
    <row r="29" spans="2:16" ht="35.15" hidden="1" customHeight="1" thickBot="1" x14ac:dyDescent="0.3">
      <c r="B29" s="115" t="s">
        <v>25</v>
      </c>
      <c r="C29" s="116">
        <f t="shared" si="9"/>
        <v>3348</v>
      </c>
      <c r="D29" s="117"/>
      <c r="E29" s="105" t="str">
        <f t="shared" si="0"/>
        <v/>
      </c>
      <c r="F29" s="118"/>
      <c r="G29" s="104" t="str">
        <f t="shared" si="7"/>
        <v/>
      </c>
      <c r="K29" s="105" t="str">
        <f t="shared" si="1"/>
        <v/>
      </c>
      <c r="L29" s="106" t="str">
        <f t="shared" si="2"/>
        <v/>
      </c>
      <c r="M29" s="109">
        <f t="shared" si="3"/>
        <v>3347.00503999595</v>
      </c>
      <c r="P29" s="110" t="str">
        <f t="shared" si="8"/>
        <v/>
      </c>
    </row>
    <row r="30" spans="2:16" ht="35.15" hidden="1" customHeight="1" thickBot="1" x14ac:dyDescent="0.3">
      <c r="B30" s="115" t="s">
        <v>26</v>
      </c>
      <c r="C30" s="116">
        <f t="shared" si="9"/>
        <v>3381</v>
      </c>
      <c r="D30" s="117"/>
      <c r="E30" s="105" t="str">
        <f t="shared" si="0"/>
        <v/>
      </c>
      <c r="F30" s="118"/>
      <c r="G30" s="104" t="str">
        <f t="shared" si="7"/>
        <v/>
      </c>
      <c r="K30" s="105" t="str">
        <f t="shared" si="1"/>
        <v/>
      </c>
      <c r="L30" s="106" t="str">
        <f t="shared" si="2"/>
        <v/>
      </c>
      <c r="M30" s="109">
        <f t="shared" si="3"/>
        <v>3380.4750903959098</v>
      </c>
      <c r="P30" s="110" t="str">
        <f t="shared" si="8"/>
        <v/>
      </c>
    </row>
    <row r="31" spans="2:16" ht="35.15" hidden="1" customHeight="1" thickBot="1" x14ac:dyDescent="0.3">
      <c r="B31" s="115" t="s">
        <v>27</v>
      </c>
      <c r="C31" s="116">
        <f t="shared" si="9"/>
        <v>3415</v>
      </c>
      <c r="D31" s="117"/>
      <c r="E31" s="105" t="str">
        <f t="shared" si="0"/>
        <v/>
      </c>
      <c r="F31" s="118"/>
      <c r="G31" s="104" t="str">
        <f t="shared" si="7"/>
        <v/>
      </c>
      <c r="K31" s="105" t="str">
        <f t="shared" si="1"/>
        <v/>
      </c>
      <c r="L31" s="106" t="str">
        <f t="shared" si="2"/>
        <v/>
      </c>
      <c r="M31" s="109">
        <f t="shared" si="3"/>
        <v>3414.2798412998691</v>
      </c>
      <c r="P31" s="110" t="str">
        <f t="shared" si="8"/>
        <v/>
      </c>
    </row>
    <row r="32" spans="2:16" ht="35.15" hidden="1" customHeight="1" thickBot="1" x14ac:dyDescent="0.3">
      <c r="B32" s="115" t="s">
        <v>28</v>
      </c>
      <c r="C32" s="116">
        <f t="shared" si="9"/>
        <v>3449</v>
      </c>
      <c r="D32" s="117"/>
      <c r="E32" s="105" t="str">
        <f t="shared" si="0"/>
        <v/>
      </c>
      <c r="F32" s="118"/>
      <c r="G32" s="104" t="str">
        <f t="shared" si="7"/>
        <v/>
      </c>
      <c r="K32" s="105" t="str">
        <f t="shared" si="1"/>
        <v/>
      </c>
      <c r="L32" s="106" t="str">
        <f t="shared" si="2"/>
        <v/>
      </c>
      <c r="M32" s="109">
        <f t="shared" si="3"/>
        <v>3448.4226397128677</v>
      </c>
      <c r="P32" s="110" t="str">
        <f t="shared" si="8"/>
        <v/>
      </c>
    </row>
    <row r="33" spans="2:16" ht="101.25" customHeight="1" thickTop="1" thickBot="1" x14ac:dyDescent="0.3">
      <c r="B33" s="119" t="s">
        <v>13</v>
      </c>
      <c r="C33" s="120">
        <f>IF(C18&lt;&gt;"",SUM(C18:C27),"")</f>
        <v>31386.637623361352</v>
      </c>
      <c r="D33" s="121">
        <f>IF(D18&lt;&gt;"",SUM(D18:D27),"")</f>
        <v>1046226</v>
      </c>
      <c r="E33" s="122">
        <f>SUM(E18:E27)</f>
        <v>0</v>
      </c>
      <c r="F33" s="123"/>
      <c r="G33" s="124"/>
      <c r="K33" s="125"/>
      <c r="L33" s="126">
        <f>ROUND(F33,3)</f>
        <v>0</v>
      </c>
      <c r="M33" s="109">
        <f>SUM(M18:M32)</f>
        <v>48290.686610999554</v>
      </c>
      <c r="O33" s="109">
        <f>SUM(O18:O32)</f>
        <v>1046221.2541120453</v>
      </c>
      <c r="P33" s="110">
        <f>SUM(P18:P32)</f>
        <v>1046226</v>
      </c>
    </row>
    <row r="34" spans="2:16" ht="44.25" hidden="1" customHeight="1" thickTop="1" thickBot="1" x14ac:dyDescent="0.3">
      <c r="B34" s="127"/>
      <c r="C34" s="190" t="s">
        <v>14</v>
      </c>
      <c r="D34" s="190"/>
      <c r="E34" s="128" t="e">
        <f>+IF(D18&lt;&gt;"",NPV($B$16,E19:E27)+E18,"")</f>
        <v>#VALUE!</v>
      </c>
      <c r="F34" s="129"/>
      <c r="G34" s="127"/>
      <c r="K34" s="130"/>
      <c r="L34" s="126">
        <f>ROUND(F34,3)</f>
        <v>0</v>
      </c>
    </row>
    <row r="35" spans="2:16" ht="44.25" hidden="1" customHeight="1" thickTop="1" thickBot="1" x14ac:dyDescent="0.3">
      <c r="B35" s="127"/>
      <c r="C35" s="191" t="s">
        <v>14</v>
      </c>
      <c r="D35" s="191"/>
      <c r="E35" s="131" t="str">
        <f>IF(E18&lt;&gt;"",NPV($A$16,E19,E20,E21,E22,E23,E24,E25,E26,E27,E28,E29,E30,E31,E32)+E18,"")</f>
        <v/>
      </c>
      <c r="F35" s="132"/>
      <c r="G35" s="127"/>
      <c r="K35" s="130"/>
      <c r="L35" s="126"/>
    </row>
    <row r="36" spans="2:16" ht="44.25" hidden="1" customHeight="1" thickTop="1" x14ac:dyDescent="0.25">
      <c r="B36" s="127" t="s">
        <v>37</v>
      </c>
      <c r="C36" s="133">
        <f>AVERAGE(C18:C25)</f>
        <v>3107.1264610530038</v>
      </c>
      <c r="D36" s="134"/>
      <c r="E36" s="135"/>
      <c r="F36" s="132"/>
      <c r="G36" s="127"/>
      <c r="K36" s="130"/>
      <c r="L36" s="126"/>
    </row>
    <row r="37" spans="2:16" ht="33" hidden="1" customHeight="1" x14ac:dyDescent="0.25">
      <c r="B37" s="77" t="s">
        <v>38</v>
      </c>
      <c r="C37" s="77">
        <f>+C18/6</f>
        <v>500</v>
      </c>
      <c r="D37" s="136"/>
      <c r="E37" s="77"/>
      <c r="F37" s="77"/>
      <c r="G37" s="77"/>
      <c r="K37" s="130"/>
      <c r="L37" s="126">
        <f>ROUND(F37,3)</f>
        <v>0</v>
      </c>
    </row>
    <row r="38" spans="2:16" ht="33" customHeight="1" thickTop="1" thickBot="1" x14ac:dyDescent="0.3">
      <c r="B38" s="77"/>
      <c r="C38" s="77"/>
      <c r="D38" s="136"/>
      <c r="E38" s="77"/>
      <c r="F38" s="77"/>
      <c r="G38" s="77"/>
      <c r="K38" s="130"/>
      <c r="L38" s="126"/>
    </row>
    <row r="39" spans="2:16" s="76" customFormat="1" ht="20" thickTop="1" x14ac:dyDescent="0.25">
      <c r="B39" s="137" t="s">
        <v>15</v>
      </c>
      <c r="C39" s="138"/>
      <c r="D39" s="138"/>
      <c r="E39" s="138"/>
      <c r="F39" s="138"/>
      <c r="G39" s="139"/>
    </row>
    <row r="40" spans="2:16" s="76" customFormat="1" ht="37.5" customHeight="1" x14ac:dyDescent="0.25">
      <c r="B40" s="192" t="s">
        <v>57</v>
      </c>
      <c r="C40" s="193"/>
      <c r="D40" s="193"/>
      <c r="E40" s="193"/>
      <c r="F40" s="193"/>
      <c r="G40" s="194"/>
    </row>
    <row r="41" spans="2:16" s="76" customFormat="1" ht="134.15" customHeight="1" x14ac:dyDescent="0.25">
      <c r="B41" s="192" t="s">
        <v>58</v>
      </c>
      <c r="C41" s="193"/>
      <c r="D41" s="193"/>
      <c r="E41" s="193"/>
      <c r="F41" s="193"/>
      <c r="G41" s="194"/>
    </row>
    <row r="42" spans="2:16" s="76" customFormat="1" ht="61" customHeight="1" thickBot="1" x14ac:dyDescent="0.3">
      <c r="B42" s="180" t="s">
        <v>42</v>
      </c>
      <c r="C42" s="181"/>
      <c r="D42" s="181"/>
      <c r="E42" s="181"/>
      <c r="F42" s="181"/>
      <c r="G42" s="182"/>
    </row>
    <row r="43" spans="2:16" s="76" customFormat="1" ht="33" customHeight="1" thickTop="1" x14ac:dyDescent="0.25"/>
    <row r="44" spans="2:16" ht="27.75" hidden="1" customHeight="1" x14ac:dyDescent="0.25">
      <c r="B44" s="140"/>
      <c r="C44" s="140"/>
      <c r="D44" s="140"/>
      <c r="E44" s="140"/>
      <c r="F44" s="140"/>
      <c r="G44" s="140"/>
    </row>
    <row r="45" spans="2:16" ht="26.25" hidden="1" customHeight="1" x14ac:dyDescent="0.25">
      <c r="B45" s="183" t="s">
        <v>16</v>
      </c>
      <c r="C45" s="183"/>
      <c r="D45" s="183"/>
      <c r="E45" s="183"/>
      <c r="F45" s="183"/>
      <c r="G45" s="183"/>
    </row>
    <row r="46" spans="2:16" ht="15" hidden="1" customHeight="1" x14ac:dyDescent="0.35">
      <c r="B46" s="141"/>
      <c r="C46" s="141"/>
      <c r="D46" s="141"/>
      <c r="E46" s="85"/>
      <c r="F46" s="85"/>
      <c r="G46" s="85"/>
    </row>
    <row r="47" spans="2:16" ht="7.5" hidden="1" customHeight="1" x14ac:dyDescent="0.25"/>
    <row r="48" spans="2:16" ht="15" hidden="1" customHeight="1" x14ac:dyDescent="0.3">
      <c r="B48" s="184"/>
      <c r="C48" s="184"/>
      <c r="D48" s="184"/>
      <c r="E48" s="184"/>
      <c r="F48" s="142"/>
      <c r="G48" s="142"/>
    </row>
    <row r="49" spans="1:4" ht="17.149999999999999" hidden="1" customHeight="1" x14ac:dyDescent="0.25">
      <c r="B49" s="75" t="s">
        <v>33</v>
      </c>
      <c r="C49" s="75" t="s">
        <v>31</v>
      </c>
      <c r="D49" s="75" t="s">
        <v>32</v>
      </c>
    </row>
    <row r="50" spans="1:4" ht="13.5" hidden="1" x14ac:dyDescent="0.25">
      <c r="B50" s="143" t="e">
        <f>#REF!</f>
        <v>#REF!</v>
      </c>
      <c r="C50" s="109" t="e">
        <f>+B50*0.21</f>
        <v>#REF!</v>
      </c>
      <c r="D50" s="109" t="e">
        <f>SUM(B50:C50)</f>
        <v>#REF!</v>
      </c>
    </row>
    <row r="51" spans="1:4" hidden="1" x14ac:dyDescent="0.25"/>
    <row r="52" spans="1:4" hidden="1" x14ac:dyDescent="0.25">
      <c r="A52" s="75" t="s">
        <v>36</v>
      </c>
      <c r="B52" s="75" t="e">
        <f>+B50/7</f>
        <v>#REF!</v>
      </c>
    </row>
    <row r="53" spans="1:4" hidden="1" x14ac:dyDescent="0.25">
      <c r="A53" s="75" t="s">
        <v>35</v>
      </c>
    </row>
    <row r="54" spans="1:4" hidden="1" x14ac:dyDescent="0.25"/>
    <row r="55" spans="1:4" hidden="1" x14ac:dyDescent="0.25">
      <c r="A55" s="75" t="s">
        <v>34</v>
      </c>
      <c r="B55" s="75">
        <f>170000/12*2</f>
        <v>28333.333333333332</v>
      </c>
    </row>
    <row r="56" spans="1:4" hidden="1" x14ac:dyDescent="0.25"/>
    <row r="57" spans="1:4" hidden="1" x14ac:dyDescent="0.25"/>
    <row r="58" spans="1:4" hidden="1" x14ac:dyDescent="0.25"/>
    <row r="59" spans="1:4" hidden="1" x14ac:dyDescent="0.25"/>
  </sheetData>
  <sheetProtection algorithmName="SHA-512" hashValue="N+eRNEpQ5Cc57kad5wJGb5+xMFP2uquYn8/CMDvtMP0JEtq6Pc51/hy10/qjuCfd2VfxhinG/MFuIBjmUJKlyw==" saltValue="BA148XBkFI1zZ7W1iuOeGA==" spinCount="100000" sheet="1" objects="1" scenarios="1"/>
  <dataConsolidate/>
  <mergeCells count="15">
    <mergeCell ref="C5:F5"/>
    <mergeCell ref="C6:F6"/>
    <mergeCell ref="B8:G8"/>
    <mergeCell ref="B10:C10"/>
    <mergeCell ref="B11:C13"/>
    <mergeCell ref="G11:G13"/>
    <mergeCell ref="B42:G42"/>
    <mergeCell ref="B45:G45"/>
    <mergeCell ref="B48:E48"/>
    <mergeCell ref="B15:C15"/>
    <mergeCell ref="D15:G15"/>
    <mergeCell ref="C34:D34"/>
    <mergeCell ref="C35:D35"/>
    <mergeCell ref="B40:G40"/>
    <mergeCell ref="B41:G41"/>
  </mergeCells>
  <conditionalFormatting sqref="G19:G32 F20:F32">
    <cfRule type="expression" dxfId="7" priority="7" stopIfTrue="1">
      <formula>E19=0</formula>
    </cfRule>
  </conditionalFormatting>
  <conditionalFormatting sqref="F19:F32">
    <cfRule type="cellIs" dxfId="6" priority="8" stopIfTrue="1" operator="notBetween">
      <formula>F18</formula>
      <formula>F18+2/100</formula>
    </cfRule>
  </conditionalFormatting>
  <conditionalFormatting sqref="F19">
    <cfRule type="expression" dxfId="5" priority="6" stopIfTrue="1">
      <formula>E19=0</formula>
    </cfRule>
  </conditionalFormatting>
  <conditionalFormatting sqref="G18">
    <cfRule type="expression" dxfId="4" priority="5" stopIfTrue="1">
      <formula>F18=0</formula>
    </cfRule>
  </conditionalFormatting>
  <conditionalFormatting sqref="G18">
    <cfRule type="expression" dxfId="3" priority="4" stopIfTrue="1">
      <formula>F18=0</formula>
    </cfRule>
  </conditionalFormatting>
  <conditionalFormatting sqref="G18">
    <cfRule type="expression" dxfId="2" priority="3" stopIfTrue="1">
      <formula>F18=0</formula>
    </cfRule>
  </conditionalFormatting>
  <conditionalFormatting sqref="G18">
    <cfRule type="expression" dxfId="1" priority="2" stopIfTrue="1">
      <formula>F18=0</formula>
    </cfRule>
  </conditionalFormatting>
  <conditionalFormatting sqref="G18">
    <cfRule type="expression" dxfId="0" priority="1" stopIfTrue="1">
      <formula>F18=0</formula>
    </cfRule>
  </conditionalFormatting>
  <dataValidations count="2">
    <dataValidation type="custom" allowBlank="1" showInputMessage="1" showErrorMessage="1" error="Porcentaje de variable no permitido. Ver Observaciones" sqref="F18" xr:uid="{44977AF0-DE3A-404A-A4F6-9C7F4C31735F}">
      <formula1>+IF(OR(F18&lt;2%,F18&gt;10%),"ERROR",F18)</formula1>
    </dataValidation>
    <dataValidation type="custom" allowBlank="1" showInputMessage="1" showErrorMessage="1" sqref="F19:F32" xr:uid="{48E26222-EDE6-48B6-9F31-8A9EB7D66D6B}">
      <formula1>+IF(AND(F19&gt;=F18,F19&lt;=F18+2%),F19,"ERROR")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53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B833E-D28A-4924-80C4-06C1B0532178}">
  <dimension ref="B1:G31"/>
  <sheetViews>
    <sheetView zoomScale="52" workbookViewId="0">
      <selection activeCell="D16" sqref="D16"/>
    </sheetView>
  </sheetViews>
  <sheetFormatPr baseColWidth="10" defaultRowHeight="12.5" x14ac:dyDescent="0.25"/>
  <cols>
    <col min="4" max="4" width="30.26953125" customWidth="1"/>
    <col min="5" max="5" width="26.08984375" customWidth="1"/>
    <col min="6" max="6" width="35.6328125" customWidth="1"/>
    <col min="7" max="7" width="28.1796875" customWidth="1"/>
    <col min="8" max="15" width="0" hidden="1" customWidth="1"/>
  </cols>
  <sheetData>
    <row r="1" spans="2:7" x14ac:dyDescent="0.25">
      <c r="B1" s="3"/>
      <c r="C1" s="3"/>
      <c r="D1" s="3"/>
      <c r="E1" s="3"/>
      <c r="F1" s="3"/>
      <c r="G1" s="3"/>
    </row>
    <row r="2" spans="2:7" x14ac:dyDescent="0.25">
      <c r="B2" s="3"/>
      <c r="C2" s="3"/>
      <c r="D2" s="3"/>
      <c r="E2" s="3"/>
      <c r="F2" s="3"/>
      <c r="G2" s="3"/>
    </row>
    <row r="3" spans="2:7" ht="13" thickBot="1" x14ac:dyDescent="0.3">
      <c r="B3" s="3"/>
      <c r="C3" s="3"/>
      <c r="D3" s="3"/>
      <c r="E3" s="3"/>
      <c r="F3" s="3"/>
      <c r="G3" s="3"/>
    </row>
    <row r="4" spans="2:7" ht="32" thickTop="1" x14ac:dyDescent="0.25">
      <c r="B4" s="3"/>
      <c r="C4" s="144" t="s">
        <v>0</v>
      </c>
      <c r="D4" s="145"/>
      <c r="E4" s="145"/>
      <c r="F4" s="146"/>
    </row>
    <row r="5" spans="2:7" ht="36" customHeight="1" thickBot="1" x14ac:dyDescent="0.3">
      <c r="B5" s="4"/>
      <c r="C5" s="147" t="s">
        <v>63</v>
      </c>
      <c r="D5" s="148"/>
      <c r="E5" s="148"/>
      <c r="F5" s="149"/>
    </row>
    <row r="6" spans="2:7" ht="23" thickTop="1" thickBot="1" x14ac:dyDescent="0.3">
      <c r="B6" s="5"/>
      <c r="C6" s="5"/>
      <c r="D6" s="5"/>
      <c r="E6" s="5"/>
      <c r="F6" s="5"/>
      <c r="G6" s="5"/>
    </row>
    <row r="7" spans="2:7" ht="64" customHeight="1" thickTop="1" thickBot="1" x14ac:dyDescent="0.3">
      <c r="B7" s="227" t="s">
        <v>44</v>
      </c>
      <c r="C7" s="228"/>
      <c r="D7" s="229"/>
      <c r="E7" s="229"/>
      <c r="F7" s="229"/>
      <c r="G7" s="230"/>
    </row>
    <row r="8" spans="2:7" ht="13.5" thickTop="1" thickBot="1" x14ac:dyDescent="0.3">
      <c r="B8" s="1"/>
      <c r="C8" s="1"/>
      <c r="D8" s="1"/>
      <c r="E8" s="1"/>
      <c r="F8" s="1"/>
      <c r="G8" s="1"/>
    </row>
    <row r="9" spans="2:7" ht="59.5" customHeight="1" thickTop="1" x14ac:dyDescent="0.25">
      <c r="B9" s="154" t="s">
        <v>1</v>
      </c>
      <c r="C9" s="155"/>
      <c r="D9" s="7" t="s">
        <v>29</v>
      </c>
      <c r="E9" s="7" t="s">
        <v>56</v>
      </c>
      <c r="F9" s="7" t="s">
        <v>2</v>
      </c>
      <c r="G9" s="8" t="s">
        <v>3</v>
      </c>
    </row>
    <row r="10" spans="2:7" ht="17.5" x14ac:dyDescent="0.25">
      <c r="B10" s="156" t="s">
        <v>45</v>
      </c>
      <c r="C10" s="157"/>
      <c r="D10" s="38" t="s">
        <v>62</v>
      </c>
      <c r="E10" s="38" t="s">
        <v>47</v>
      </c>
      <c r="F10" s="38" t="s">
        <v>48</v>
      </c>
      <c r="G10" s="162">
        <f>'lote 1'!C33</f>
        <v>16416</v>
      </c>
    </row>
    <row r="11" spans="2:7" ht="17.5" x14ac:dyDescent="0.25">
      <c r="B11" s="158"/>
      <c r="C11" s="159"/>
      <c r="D11" s="38"/>
      <c r="E11" s="38"/>
      <c r="F11" s="38"/>
      <c r="G11" s="163"/>
    </row>
    <row r="12" spans="2:7" ht="18" thickBot="1" x14ac:dyDescent="0.3">
      <c r="B12" s="226"/>
      <c r="C12" s="159"/>
      <c r="D12" s="71"/>
      <c r="E12" s="72"/>
      <c r="F12" s="73"/>
      <c r="G12" s="163"/>
    </row>
    <row r="13" spans="2:7" ht="112" customHeight="1" thickBot="1" x14ac:dyDescent="0.3">
      <c r="B13" s="221" t="s">
        <v>41</v>
      </c>
      <c r="C13" s="222"/>
      <c r="D13" s="222"/>
      <c r="E13" s="223">
        <f>'lote 1'!E33</f>
        <v>0</v>
      </c>
      <c r="F13" s="224"/>
      <c r="G13" s="225"/>
    </row>
    <row r="15" spans="2:7" ht="13" thickBot="1" x14ac:dyDescent="0.3">
      <c r="B15" s="43"/>
      <c r="C15" s="43"/>
      <c r="D15" s="43"/>
      <c r="E15" s="43"/>
      <c r="F15" s="43"/>
      <c r="G15" s="43"/>
    </row>
    <row r="16" spans="2:7" ht="62" thickTop="1" x14ac:dyDescent="0.25">
      <c r="B16" s="154" t="s">
        <v>1</v>
      </c>
      <c r="C16" s="155"/>
      <c r="D16" s="7" t="s">
        <v>29</v>
      </c>
      <c r="E16" s="7" t="s">
        <v>30</v>
      </c>
      <c r="F16" s="7" t="s">
        <v>2</v>
      </c>
      <c r="G16" s="8" t="s">
        <v>3</v>
      </c>
    </row>
    <row r="17" spans="2:7" ht="17.5" x14ac:dyDescent="0.25">
      <c r="B17" s="156" t="s">
        <v>49</v>
      </c>
      <c r="C17" s="157"/>
      <c r="D17" s="44">
        <v>9929</v>
      </c>
      <c r="E17" s="45">
        <v>124.66</v>
      </c>
      <c r="F17" s="38" t="s">
        <v>48</v>
      </c>
      <c r="G17" s="162">
        <f>'lote 2'!C33</f>
        <v>75327.93029606725</v>
      </c>
    </row>
    <row r="18" spans="2:7" ht="17.5" x14ac:dyDescent="0.25">
      <c r="B18" s="158"/>
      <c r="C18" s="159"/>
      <c r="D18" s="44">
        <v>13178</v>
      </c>
      <c r="E18" s="45">
        <v>198</v>
      </c>
      <c r="F18" s="38" t="s">
        <v>50</v>
      </c>
      <c r="G18" s="163"/>
    </row>
    <row r="19" spans="2:7" ht="18" thickBot="1" x14ac:dyDescent="0.3">
      <c r="B19" s="226"/>
      <c r="C19" s="159"/>
      <c r="D19" s="71"/>
      <c r="E19" s="72"/>
      <c r="F19" s="73"/>
      <c r="G19" s="163"/>
    </row>
    <row r="20" spans="2:7" ht="89" customHeight="1" thickBot="1" x14ac:dyDescent="0.3">
      <c r="B20" s="221" t="s">
        <v>41</v>
      </c>
      <c r="C20" s="222"/>
      <c r="D20" s="222"/>
      <c r="E20" s="223">
        <f>'lote 2'!E33</f>
        <v>0</v>
      </c>
      <c r="F20" s="224"/>
      <c r="G20" s="225"/>
    </row>
    <row r="22" spans="2:7" ht="13" thickBot="1" x14ac:dyDescent="0.3"/>
    <row r="23" spans="2:7" ht="62" thickTop="1" x14ac:dyDescent="0.25">
      <c r="B23" s="154" t="s">
        <v>1</v>
      </c>
      <c r="C23" s="155"/>
      <c r="D23" s="7" t="s">
        <v>29</v>
      </c>
      <c r="E23" s="7" t="s">
        <v>30</v>
      </c>
      <c r="F23" s="7" t="s">
        <v>2</v>
      </c>
      <c r="G23" s="8" t="s">
        <v>3</v>
      </c>
    </row>
    <row r="24" spans="2:7" ht="17.5" x14ac:dyDescent="0.25">
      <c r="B24" s="156" t="s">
        <v>55</v>
      </c>
      <c r="C24" s="157"/>
      <c r="D24" s="38" t="s">
        <v>54</v>
      </c>
      <c r="E24" s="38" t="s">
        <v>53</v>
      </c>
      <c r="F24" s="38" t="s">
        <v>48</v>
      </c>
      <c r="G24" s="162">
        <f>'lote 3'!C33</f>
        <v>31386.637623361352</v>
      </c>
    </row>
    <row r="25" spans="2:7" ht="17.5" x14ac:dyDescent="0.25">
      <c r="B25" s="158"/>
      <c r="C25" s="159"/>
      <c r="D25" s="38" t="s">
        <v>52</v>
      </c>
      <c r="E25" s="38" t="s">
        <v>51</v>
      </c>
      <c r="F25" s="38" t="s">
        <v>50</v>
      </c>
      <c r="G25" s="163"/>
    </row>
    <row r="26" spans="2:7" ht="18" thickBot="1" x14ac:dyDescent="0.3">
      <c r="B26" s="160"/>
      <c r="C26" s="161"/>
      <c r="D26" s="39"/>
      <c r="E26" s="40"/>
      <c r="F26" s="41"/>
      <c r="G26" s="164"/>
    </row>
    <row r="27" spans="2:7" ht="13.5" thickTop="1" thickBot="1" x14ac:dyDescent="0.3"/>
    <row r="28" spans="2:7" ht="80.5" customHeight="1" thickBot="1" x14ac:dyDescent="0.3">
      <c r="B28" s="221" t="s">
        <v>41</v>
      </c>
      <c r="C28" s="222"/>
      <c r="D28" s="222"/>
      <c r="E28" s="223">
        <f>'lote 3'!E33</f>
        <v>0</v>
      </c>
      <c r="F28" s="224"/>
      <c r="G28" s="225"/>
    </row>
    <row r="30" spans="2:7" ht="13" thickBot="1" x14ac:dyDescent="0.3"/>
    <row r="31" spans="2:7" ht="103.5" customHeight="1" thickBot="1" x14ac:dyDescent="0.3">
      <c r="B31" s="216" t="s">
        <v>61</v>
      </c>
      <c r="C31" s="217"/>
      <c r="D31" s="217"/>
      <c r="E31" s="218">
        <f>+E13+E20+E28</f>
        <v>0</v>
      </c>
      <c r="F31" s="219"/>
      <c r="G31" s="220"/>
    </row>
  </sheetData>
  <sheetProtection algorithmName="SHA-512" hashValue="24K5k+joH96Wj8iIj7t+CEmkAFAe7h0yRHK43DlDAF8ZvECFh2G+/n+keCMUMHWPwK7JFwqnCkqipmnmkOEDyA==" saltValue="u1wuvDXqie/fZXuMFk/I7g==" spinCount="100000" sheet="1" objects="1" scenarios="1"/>
  <mergeCells count="20">
    <mergeCell ref="C4:F4"/>
    <mergeCell ref="C5:F5"/>
    <mergeCell ref="B7:G7"/>
    <mergeCell ref="B9:C9"/>
    <mergeCell ref="B10:C12"/>
    <mergeCell ref="G10:G12"/>
    <mergeCell ref="B13:D13"/>
    <mergeCell ref="E13:G13"/>
    <mergeCell ref="B16:C16"/>
    <mergeCell ref="B17:C19"/>
    <mergeCell ref="G17:G19"/>
    <mergeCell ref="B31:D31"/>
    <mergeCell ref="E31:G31"/>
    <mergeCell ref="B20:D20"/>
    <mergeCell ref="E20:G20"/>
    <mergeCell ref="B23:C23"/>
    <mergeCell ref="B24:C26"/>
    <mergeCell ref="G24:G26"/>
    <mergeCell ref="B28:D28"/>
    <mergeCell ref="E28:G2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1accdd2-8ebd-4b98-91dc-cae2f4b6bac2" xsi:nil="true"/>
    <lcf76f155ced4ddcb4097134ff3c332f xmlns="21accdd2-8ebd-4b98-91dc-cae2f4b6bac2">
      <Terms xmlns="http://schemas.microsoft.com/office/infopath/2007/PartnerControls"/>
    </lcf76f155ced4ddcb4097134ff3c332f>
    <TaxCatchAll xmlns="7236d684-3b65-4a06-be5f-ecff94bee2e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574B24B8FE5C24BB08BAAB4F6261B80" ma:contentTypeVersion="16" ma:contentTypeDescription="Crear nuevo documento." ma:contentTypeScope="" ma:versionID="e9386bdf840e6ba53dd14395cd3de003">
  <xsd:schema xmlns:xsd="http://www.w3.org/2001/XMLSchema" xmlns:xs="http://www.w3.org/2001/XMLSchema" xmlns:p="http://schemas.microsoft.com/office/2006/metadata/properties" xmlns:ns2="21accdd2-8ebd-4b98-91dc-cae2f4b6bac2" xmlns:ns3="7236d684-3b65-4a06-be5f-ecff94bee2ee" targetNamespace="http://schemas.microsoft.com/office/2006/metadata/properties" ma:root="true" ma:fieldsID="1b97acd4c5243d710df39dc57c882297" ns2:_="" ns3:_="">
    <xsd:import namespace="21accdd2-8ebd-4b98-91dc-cae2f4b6bac2"/>
    <xsd:import namespace="7236d684-3b65-4a06-be5f-ecff94bee2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accdd2-8ebd-4b98-91dc-cae2f4b6ba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c5f77948-cb74-4db9-9d42-99e13121e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3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36d684-3b65-4a06-be5f-ecff94bee2ee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160f996-357d-42d5-b3a7-0942313f5a40}" ma:internalName="TaxCatchAll" ma:showField="CatchAllData" ma:web="7236d684-3b65-4a06-be5f-ecff94bee2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A3C6F2-4D71-4DC8-BBF9-068DD6FFF7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71259A-95C7-4525-BC1F-8E40793F51DA}">
  <ds:schemaRefs>
    <ds:schemaRef ds:uri="08dd40dd-a944-4eff-85b4-f74a5b189b1a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ac9fbe38-e0aa-43cf-9d9d-872593d50dbb"/>
    <ds:schemaRef ds:uri="http://purl.org/dc/dcmitype/"/>
    <ds:schemaRef ds:uri="21accdd2-8ebd-4b98-91dc-cae2f4b6bac2"/>
    <ds:schemaRef ds:uri="7236d684-3b65-4a06-be5f-ecff94bee2ee"/>
  </ds:schemaRefs>
</ds:datastoreItem>
</file>

<file path=customXml/itemProps3.xml><?xml version="1.0" encoding="utf-8"?>
<ds:datastoreItem xmlns:ds="http://schemas.openxmlformats.org/officeDocument/2006/customXml" ds:itemID="{F61F4754-5E29-42CE-839A-DDE6C9A8D7AE}"/>
</file>

<file path=docMetadata/LabelInfo.xml><?xml version="1.0" encoding="utf-8"?>
<clbl:labelList xmlns:clbl="http://schemas.microsoft.com/office/2020/mipLabelMetadata">
  <clbl:label id="{62394dc9-7b9f-4804-8eca-3bd919c5bef4}" enabled="1" method="Privileged" siteId="{f752ca51-e762-497a-939c-e7b7813268a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lote 1</vt:lpstr>
      <vt:lpstr>lote 2</vt:lpstr>
      <vt:lpstr>lote 3</vt:lpstr>
      <vt:lpstr>oferta conjunta 4.4</vt:lpstr>
    </vt:vector>
  </TitlesOfParts>
  <Company>Adif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VALC_JESUSS</dc:creator>
  <cp:lastModifiedBy>M DEL CARMEN DURAN SANCHEZ</cp:lastModifiedBy>
  <cp:lastPrinted>2020-07-08T08:32:32Z</cp:lastPrinted>
  <dcterms:created xsi:type="dcterms:W3CDTF">2015-01-28T12:09:58Z</dcterms:created>
  <dcterms:modified xsi:type="dcterms:W3CDTF">2024-07-04T10:35:18Z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0x0101007574B24B8FE5C24BB08BAAB4F6261B80</vt:lpwstr>
  </property>
  <property fmtid="{D5CDD505-2E9C-101B-9397-08002B2CF9AE}" pid="3" name="MSIP_Label_62394dc9-7b9f-4804-8eca-3bd919c5bef4_Enabled">
    <vt:lpwstr>true</vt:lpwstr>
  </property>
  <property fmtid="{D5CDD505-2E9C-101B-9397-08002B2CF9AE}" pid="4" name="MSIP_Label_62394dc9-7b9f-4804-8eca-3bd919c5bef4_SetDate">
    <vt:lpwstr>2024-04-02T09:11:47Z</vt:lpwstr>
  </property>
  <property fmtid="{D5CDD505-2E9C-101B-9397-08002B2CF9AE}" pid="5" name="MSIP_Label_62394dc9-7b9f-4804-8eca-3bd919c5bef4_Method">
    <vt:lpwstr>Standard</vt:lpwstr>
  </property>
  <property fmtid="{D5CDD505-2E9C-101B-9397-08002B2CF9AE}" pid="6" name="MSIP_Label_62394dc9-7b9f-4804-8eca-3bd919c5bef4_Name">
    <vt:lpwstr>Etiqueta predeterminada uso interno</vt:lpwstr>
  </property>
  <property fmtid="{D5CDD505-2E9C-101B-9397-08002B2CF9AE}" pid="7" name="MSIP_Label_62394dc9-7b9f-4804-8eca-3bd919c5bef4_SiteId">
    <vt:lpwstr>f752ca51-e762-497a-939c-e7b7813268af</vt:lpwstr>
  </property>
  <property fmtid="{D5CDD505-2E9C-101B-9397-08002B2CF9AE}" pid="8" name="MSIP_Label_62394dc9-7b9f-4804-8eca-3bd919c5bef4_ActionId">
    <vt:lpwstr>12102cce-97fc-404f-9e8f-538978246657</vt:lpwstr>
  </property>
  <property fmtid="{D5CDD505-2E9C-101B-9397-08002B2CF9AE}" pid="9" name="MSIP_Label_62394dc9-7b9f-4804-8eca-3bd919c5bef4_ContentBits">
    <vt:lpwstr>0</vt:lpwstr>
  </property>
  <property fmtid="{D5CDD505-2E9C-101B-9397-08002B2CF9AE}" pid="10" name="MediaServiceImageTags">
    <vt:lpwstr/>
  </property>
</Properties>
</file>